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FA"/>
  <workbookPr filterPrivacy="1" showInkAnnotation="0" codeName="ThisWorkbook" defaultThemeVersion="124226"/>
  <bookViews>
    <workbookView xWindow="105" yWindow="105" windowWidth="17340" windowHeight="10725" tabRatio="1000"/>
  </bookViews>
  <sheets>
    <sheet name="TCOS" sheetId="2" r:id="rId1"/>
    <sheet name="WS A - RB Support" sheetId="35" r:id="rId2"/>
    <sheet name="WS B ADIT &amp; ITC" sheetId="5" r:id="rId3"/>
    <sheet name="WS B-1 - Actual Stmt. AF" sheetId="38" r:id="rId4"/>
    <sheet name="WS B-2 - Actual Stmt. AG" sheetId="39"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30" r:id="rId12"/>
    <sheet name="WS I Reserved" sheetId="12" r:id="rId13"/>
    <sheet name="WS J PROJECTED RTEP RR" sheetId="20" state="hidden" r:id="rId14"/>
    <sheet name="WS K TRUE-UP RTEP RR" sheetId="13" r:id="rId15"/>
    <sheet name="WS L Reserved" sheetId="14" r:id="rId16"/>
    <sheet name="WS M - Cost of Capital" sheetId="41" r:id="rId17"/>
    <sheet name="WS N - Sale of Plant Held" sheetId="21" r:id="rId18"/>
    <sheet name="WS O - PBOP" sheetId="48" r:id="rId19"/>
    <sheet name="APCo - WS P Dep. Rates" sheetId="31" r:id="rId20"/>
    <sheet name="IMC - WS P Dep. Rates" sheetId="42" r:id="rId21"/>
    <sheet name="KGP - WS P Dep. Rates" sheetId="43" r:id="rId22"/>
    <sheet name="KPC - WS P Dep. Rates" sheetId="44" r:id="rId23"/>
    <sheet name="OPC - WS P Dep. Rates" sheetId="45" r:id="rId24"/>
    <sheet name="WPC-WS P Dep. Rates" sheetId="46" r:id="rId25"/>
    <sheet name="WS Q NITS" sheetId="32" r:id="rId26"/>
    <sheet name="WS Q Schedule 12" sheetId="47" r:id="rId27"/>
    <sheet name="WSQ Schedule 1A" sheetId="49" r:id="rId28"/>
  </sheets>
  <externalReferences>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4">'WPC-WS P Dep. Rates'!#REF!</definedName>
    <definedName name="_xlnm.Print_Area" localSheetId="9">'WS G  State Tax Rate'!$A$1:$H$43</definedName>
    <definedName name="_xlnm.Print_Area" localSheetId="18">'WS O - PBOP'!$A$1:$K$57</definedName>
    <definedName name="_xlnm.Print_Area">#REF!</definedName>
    <definedName name="_xlnm.Print_Titles" localSheetId="24">'WPC-WS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Capital'!$A$10:$N$97</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Capital'!$A$10:$N$97</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Capital'!$A$10:$N$97</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Capital'!$A$10:$N$97</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Amts'!$A$3:$F$119</definedName>
    <definedName name="Z_C5140E12_E05E_4473_9142_42F37320A417_.wvu.PrintArea" localSheetId="13" hidden="1">'WS J PROJECTED RTEP RR'!$A$3:$O$80</definedName>
    <definedName name="Z_C5140E12_E05E_4473_9142_42F37320A417_.wvu.PrintTitles" localSheetId="11" hidden="1">'WS H-1-Detail of Tax Amts'!$3:$7</definedName>
    <definedName name="Zip">#REF!</definedName>
  </definedNames>
  <calcPr calcId="162913"/>
</workbook>
</file>

<file path=xl/calcChain.xml><?xml version="1.0" encoding="utf-8"?>
<calcChain xmlns="http://schemas.openxmlformats.org/spreadsheetml/2006/main">
  <c r="H24" i="48" l="1"/>
  <c r="S116" i="39"/>
  <c r="R116" i="39"/>
  <c r="Q116" i="39"/>
  <c r="E42" i="5" s="1"/>
  <c r="O116" i="39"/>
  <c r="N116" i="39"/>
  <c r="M116" i="39"/>
  <c r="G42" i="5" s="1"/>
  <c r="E116" i="39"/>
  <c r="F116" i="39"/>
  <c r="D113" i="39"/>
  <c r="C113" i="39"/>
  <c r="K113" i="39"/>
  <c r="J113" i="39"/>
  <c r="I113" i="39"/>
  <c r="C103" i="39"/>
  <c r="D103" i="39"/>
  <c r="G103" i="39" s="1"/>
  <c r="C104" i="39"/>
  <c r="D104" i="39"/>
  <c r="G104" i="39" s="1"/>
  <c r="C105" i="39"/>
  <c r="G105" i="39" s="1"/>
  <c r="D105" i="39"/>
  <c r="C106" i="39"/>
  <c r="D106" i="39"/>
  <c r="C107" i="39"/>
  <c r="D107" i="39"/>
  <c r="C108" i="39"/>
  <c r="D108" i="39"/>
  <c r="C109" i="39"/>
  <c r="D109" i="39"/>
  <c r="C110" i="39"/>
  <c r="D110" i="39"/>
  <c r="C111" i="39"/>
  <c r="D111" i="39"/>
  <c r="C112" i="39"/>
  <c r="D112" i="39"/>
  <c r="D102" i="39"/>
  <c r="G102" i="39" s="1"/>
  <c r="C102" i="39"/>
  <c r="C95" i="39"/>
  <c r="D95" i="39"/>
  <c r="I95" i="39"/>
  <c r="J95" i="39"/>
  <c r="K95" i="39"/>
  <c r="C96" i="39"/>
  <c r="G96" i="39" s="1"/>
  <c r="D96" i="39"/>
  <c r="I96" i="39"/>
  <c r="J96" i="39"/>
  <c r="K96" i="39"/>
  <c r="C97" i="39"/>
  <c r="G97" i="39"/>
  <c r="D97" i="39"/>
  <c r="I97" i="39"/>
  <c r="J97" i="39"/>
  <c r="K97" i="39"/>
  <c r="C98" i="39"/>
  <c r="D98" i="39"/>
  <c r="G98" i="39" s="1"/>
  <c r="I98" i="39"/>
  <c r="J98" i="39"/>
  <c r="K98" i="39"/>
  <c r="C99" i="39"/>
  <c r="G99" i="39" s="1"/>
  <c r="D99" i="39"/>
  <c r="I99" i="39"/>
  <c r="J99" i="39"/>
  <c r="K99" i="39"/>
  <c r="C100" i="39"/>
  <c r="D100" i="39"/>
  <c r="I100" i="39"/>
  <c r="J100" i="39"/>
  <c r="K100" i="39"/>
  <c r="C101" i="39"/>
  <c r="D101" i="39"/>
  <c r="G101" i="39" s="1"/>
  <c r="I101" i="39"/>
  <c r="J101" i="39"/>
  <c r="K101" i="39"/>
  <c r="G106" i="39"/>
  <c r="G107" i="39"/>
  <c r="G100" i="39"/>
  <c r="S194" i="38"/>
  <c r="R194" i="38"/>
  <c r="Q194" i="38"/>
  <c r="E34" i="5"/>
  <c r="O194" i="38"/>
  <c r="N194" i="38"/>
  <c r="M194" i="38"/>
  <c r="E194" i="38"/>
  <c r="F194" i="38"/>
  <c r="G34" i="5"/>
  <c r="D191" i="38"/>
  <c r="C191" i="38"/>
  <c r="C183" i="38"/>
  <c r="D183" i="38"/>
  <c r="C179" i="38"/>
  <c r="D179" i="38"/>
  <c r="C180" i="38"/>
  <c r="D180" i="38"/>
  <c r="C181" i="38"/>
  <c r="D181" i="38"/>
  <c r="C182" i="38"/>
  <c r="D182" i="38"/>
  <c r="D178" i="38"/>
  <c r="C178" i="38"/>
  <c r="C175" i="38"/>
  <c r="G175" i="38" s="1"/>
  <c r="D175" i="38"/>
  <c r="I175" i="38"/>
  <c r="J175" i="38"/>
  <c r="K175" i="38"/>
  <c r="C176" i="38"/>
  <c r="D176" i="38"/>
  <c r="G176" i="38" s="1"/>
  <c r="I176" i="38"/>
  <c r="J176" i="38"/>
  <c r="K176" i="38"/>
  <c r="C177" i="38"/>
  <c r="G177" i="38" s="1"/>
  <c r="D177" i="38"/>
  <c r="I177" i="38"/>
  <c r="J177" i="38"/>
  <c r="K177" i="38"/>
  <c r="C173" i="38"/>
  <c r="D173" i="38"/>
  <c r="G173" i="38" s="1"/>
  <c r="I173" i="38"/>
  <c r="J173" i="38"/>
  <c r="K173" i="38"/>
  <c r="C174" i="38"/>
  <c r="G174" i="38" s="1"/>
  <c r="D174" i="38"/>
  <c r="I174" i="38"/>
  <c r="J174" i="38"/>
  <c r="K174" i="38"/>
  <c r="C171" i="38"/>
  <c r="C172" i="38"/>
  <c r="S78" i="38"/>
  <c r="R78" i="38"/>
  <c r="Q78" i="38"/>
  <c r="O78" i="38"/>
  <c r="N78" i="38"/>
  <c r="M78" i="38"/>
  <c r="C73" i="38"/>
  <c r="D73" i="38"/>
  <c r="D72" i="38"/>
  <c r="C72" i="38"/>
  <c r="G71" i="38"/>
  <c r="F74" i="38"/>
  <c r="I66" i="38"/>
  <c r="J66" i="38"/>
  <c r="K66" i="38"/>
  <c r="I67" i="38"/>
  <c r="J67" i="38"/>
  <c r="K67" i="38"/>
  <c r="I68" i="38"/>
  <c r="J68" i="38"/>
  <c r="K68" i="38"/>
  <c r="I69" i="38"/>
  <c r="J69" i="38"/>
  <c r="K69" i="38"/>
  <c r="I70" i="38"/>
  <c r="J70" i="38"/>
  <c r="K70" i="38"/>
  <c r="I71" i="38"/>
  <c r="J71" i="38"/>
  <c r="K71" i="38"/>
  <c r="I72" i="38"/>
  <c r="J72" i="38"/>
  <c r="K72" i="38"/>
  <c r="I73" i="38"/>
  <c r="J73" i="38"/>
  <c r="K73" i="38"/>
  <c r="I74" i="38"/>
  <c r="J74" i="38"/>
  <c r="K74" i="38"/>
  <c r="C66" i="38"/>
  <c r="G66" i="38" s="1"/>
  <c r="D66" i="38"/>
  <c r="C67" i="38"/>
  <c r="G67" i="38"/>
  <c r="D67" i="38"/>
  <c r="C68" i="38"/>
  <c r="D68" i="38"/>
  <c r="C69" i="38"/>
  <c r="G69" i="38" s="1"/>
  <c r="D69" i="38"/>
  <c r="C70" i="38"/>
  <c r="G70" i="38"/>
  <c r="D70" i="38"/>
  <c r="C71" i="38"/>
  <c r="D71" i="38"/>
  <c r="C74" i="38"/>
  <c r="D74" i="38"/>
  <c r="D21" i="38"/>
  <c r="C21" i="38"/>
  <c r="I31" i="30"/>
  <c r="I30" i="30"/>
  <c r="G172" i="2"/>
  <c r="G142" i="2"/>
  <c r="E68" i="9"/>
  <c r="E51" i="9"/>
  <c r="E52" i="9"/>
  <c r="E53" i="9"/>
  <c r="E54" i="9"/>
  <c r="E55" i="9"/>
  <c r="E56" i="9"/>
  <c r="E57" i="9"/>
  <c r="E58" i="9"/>
  <c r="E59" i="9"/>
  <c r="F39" i="9"/>
  <c r="O1280" i="13"/>
  <c r="P1280" i="13" s="1"/>
  <c r="M1280" i="13"/>
  <c r="O1279" i="13"/>
  <c r="P1279" i="13"/>
  <c r="M1279" i="13"/>
  <c r="O1278" i="13"/>
  <c r="M1278" i="13"/>
  <c r="P1278" i="13"/>
  <c r="O1277" i="13"/>
  <c r="M1277" i="13"/>
  <c r="P1277" i="13" s="1"/>
  <c r="O1276" i="13"/>
  <c r="M1276" i="13"/>
  <c r="O1275" i="13"/>
  <c r="M1275" i="13"/>
  <c r="O1274" i="13"/>
  <c r="P1274" i="13" s="1"/>
  <c r="M1274" i="13"/>
  <c r="O1273" i="13"/>
  <c r="M1273" i="13"/>
  <c r="O1272" i="13"/>
  <c r="M1272" i="13"/>
  <c r="O1271" i="13"/>
  <c r="M1271" i="13"/>
  <c r="O1270" i="13"/>
  <c r="P1270" i="13" s="1"/>
  <c r="M1270" i="13"/>
  <c r="O1269" i="13"/>
  <c r="P1269" i="13" s="1"/>
  <c r="M1269" i="13"/>
  <c r="O1268" i="13"/>
  <c r="M1268" i="13"/>
  <c r="O1267" i="13"/>
  <c r="P1267" i="13"/>
  <c r="M1267" i="13"/>
  <c r="O1266" i="13"/>
  <c r="M1266" i="13"/>
  <c r="O1265" i="13"/>
  <c r="M1265" i="13"/>
  <c r="O1264" i="13"/>
  <c r="M1264" i="13"/>
  <c r="O1263" i="13"/>
  <c r="M1263" i="13"/>
  <c r="P1263" i="13"/>
  <c r="O1262" i="13"/>
  <c r="M1262" i="13"/>
  <c r="O1261" i="13"/>
  <c r="M1261" i="13"/>
  <c r="O1260" i="13"/>
  <c r="M1260" i="13"/>
  <c r="O1259" i="13"/>
  <c r="M1259" i="13"/>
  <c r="O1258" i="13"/>
  <c r="P1258" i="13"/>
  <c r="M1258" i="13"/>
  <c r="O1257" i="13"/>
  <c r="M1257" i="13"/>
  <c r="O1256" i="13"/>
  <c r="P1256" i="13" s="1"/>
  <c r="M1256" i="13"/>
  <c r="O1255" i="13"/>
  <c r="M1255" i="13"/>
  <c r="O1254" i="13"/>
  <c r="M1254" i="13"/>
  <c r="O1253" i="13"/>
  <c r="P1253" i="13" s="1"/>
  <c r="M1253" i="13"/>
  <c r="O1252" i="13"/>
  <c r="P1252" i="13"/>
  <c r="M1252" i="13"/>
  <c r="O1251" i="13"/>
  <c r="M1251" i="13"/>
  <c r="O1250" i="13"/>
  <c r="P1250" i="13" s="1"/>
  <c r="M1250" i="13"/>
  <c r="O1249" i="13"/>
  <c r="M1249" i="13"/>
  <c r="O1248" i="13"/>
  <c r="P1248" i="13"/>
  <c r="M1248" i="13"/>
  <c r="O1247" i="13"/>
  <c r="M1247" i="13"/>
  <c r="O1246" i="13"/>
  <c r="M1246" i="13"/>
  <c r="O1245" i="13"/>
  <c r="P1245" i="13"/>
  <c r="M1245" i="13"/>
  <c r="O1244" i="13"/>
  <c r="P1244" i="13" s="1"/>
  <c r="M1244" i="13"/>
  <c r="O1243" i="13"/>
  <c r="M1243" i="13"/>
  <c r="O1242" i="13"/>
  <c r="M1242" i="13"/>
  <c r="P1242" i="13" s="1"/>
  <c r="O1241" i="13"/>
  <c r="M1241" i="13"/>
  <c r="O1240" i="13"/>
  <c r="M1240" i="13"/>
  <c r="P1240" i="13"/>
  <c r="O1239" i="13"/>
  <c r="M1239" i="13"/>
  <c r="P1239" i="13" s="1"/>
  <c r="O1238" i="13"/>
  <c r="M1238" i="13"/>
  <c r="O1237" i="13"/>
  <c r="M1237" i="13"/>
  <c r="O1236" i="13"/>
  <c r="M1236" i="13"/>
  <c r="O1235" i="13"/>
  <c r="M1235" i="13"/>
  <c r="P1235" i="13"/>
  <c r="O1234" i="13"/>
  <c r="M1234" i="13"/>
  <c r="O1233" i="13"/>
  <c r="M1233" i="13"/>
  <c r="O1232" i="13"/>
  <c r="M1232" i="13"/>
  <c r="O1231" i="13"/>
  <c r="M1231" i="13"/>
  <c r="O1230" i="13"/>
  <c r="M1230" i="13"/>
  <c r="O1229" i="13"/>
  <c r="M1229" i="13"/>
  <c r="O1228" i="13"/>
  <c r="M1228" i="13"/>
  <c r="O1227" i="13"/>
  <c r="M1227" i="13"/>
  <c r="O1226" i="13"/>
  <c r="M1226" i="13"/>
  <c r="P1226" i="13"/>
  <c r="O1225" i="13"/>
  <c r="M1225" i="13"/>
  <c r="O1224" i="13"/>
  <c r="M1224" i="13"/>
  <c r="O1223" i="13"/>
  <c r="P1223" i="13" s="1"/>
  <c r="M1223" i="13"/>
  <c r="O1222" i="13"/>
  <c r="M1222" i="13"/>
  <c r="P1222" i="13" s="1"/>
  <c r="D1221" i="13"/>
  <c r="C1221" i="13"/>
  <c r="C1222" i="13" s="1"/>
  <c r="C1223" i="13" s="1"/>
  <c r="C1224" i="13" s="1"/>
  <c r="C1225" i="13" s="1"/>
  <c r="C1226" i="13" s="1"/>
  <c r="C1227" i="13" s="1"/>
  <c r="C1228" i="13" s="1"/>
  <c r="C1229" i="13" s="1"/>
  <c r="C1230" i="13" s="1"/>
  <c r="C1231" i="13" s="1"/>
  <c r="C1232" i="13" s="1"/>
  <c r="C1233" i="13" s="1"/>
  <c r="C1234" i="13" s="1"/>
  <c r="C1235" i="13" s="1"/>
  <c r="C1236" i="13" s="1"/>
  <c r="C1237" i="13" s="1"/>
  <c r="C1238" i="13" s="1"/>
  <c r="C1239" i="13" s="1"/>
  <c r="C1240" i="13" s="1"/>
  <c r="C1241" i="13" s="1"/>
  <c r="C1242" i="13" s="1"/>
  <c r="C1243" i="13" s="1"/>
  <c r="C1244" i="13" s="1"/>
  <c r="C1245" i="13" s="1"/>
  <c r="C1246" i="13" s="1"/>
  <c r="C1247" i="13" s="1"/>
  <c r="C1248" i="13" s="1"/>
  <c r="C1249" i="13" s="1"/>
  <c r="C1250" i="13" s="1"/>
  <c r="L1216" i="13"/>
  <c r="L1208" i="13"/>
  <c r="P1202" i="13"/>
  <c r="O1202" i="13"/>
  <c r="G10" i="41"/>
  <c r="K17" i="8"/>
  <c r="I17" i="8"/>
  <c r="E67" i="9"/>
  <c r="J59" i="6"/>
  <c r="I54" i="6"/>
  <c r="I53" i="6"/>
  <c r="J46" i="6"/>
  <c r="K45" i="6"/>
  <c r="I41" i="6"/>
  <c r="E58" i="6"/>
  <c r="E60" i="6"/>
  <c r="K91" i="6"/>
  <c r="E91" i="6"/>
  <c r="I90" i="6"/>
  <c r="K90" i="6"/>
  <c r="E89" i="6"/>
  <c r="J88" i="6"/>
  <c r="K88" i="6" s="1"/>
  <c r="K87" i="6"/>
  <c r="J87" i="6"/>
  <c r="K86" i="6"/>
  <c r="J86" i="6"/>
  <c r="K85" i="6"/>
  <c r="J85" i="6"/>
  <c r="K84" i="6"/>
  <c r="J84" i="6"/>
  <c r="K83" i="6"/>
  <c r="J83" i="6"/>
  <c r="K82" i="6"/>
  <c r="E82" i="6"/>
  <c r="K81" i="6"/>
  <c r="E81" i="6" s="1"/>
  <c r="I81" i="6"/>
  <c r="K80" i="6"/>
  <c r="E80" i="6"/>
  <c r="K79" i="6"/>
  <c r="E79" i="6"/>
  <c r="J78" i="6"/>
  <c r="K78" i="6"/>
  <c r="E77" i="6"/>
  <c r="K76" i="6"/>
  <c r="E76" i="6" s="1"/>
  <c r="K75" i="6"/>
  <c r="J75" i="6"/>
  <c r="K74" i="6"/>
  <c r="E74" i="6"/>
  <c r="K73" i="6"/>
  <c r="E73" i="6" s="1"/>
  <c r="K72" i="6"/>
  <c r="E72" i="6"/>
  <c r="K71" i="6"/>
  <c r="E71" i="6" s="1"/>
  <c r="I71" i="6"/>
  <c r="O1193" i="13"/>
  <c r="P1193" i="13" s="1"/>
  <c r="M1193" i="13"/>
  <c r="O1192" i="13"/>
  <c r="M1192" i="13"/>
  <c r="O1191" i="13"/>
  <c r="M1191" i="13"/>
  <c r="O1190" i="13"/>
  <c r="M1190" i="13"/>
  <c r="O1189" i="13"/>
  <c r="P1189" i="13" s="1"/>
  <c r="M1189" i="13"/>
  <c r="O1188" i="13"/>
  <c r="M1188" i="13"/>
  <c r="O1187" i="13"/>
  <c r="M1187" i="13"/>
  <c r="P1187" i="13"/>
  <c r="O1186" i="13"/>
  <c r="M1186" i="13"/>
  <c r="O1185" i="13"/>
  <c r="M1185" i="13"/>
  <c r="O1184" i="13"/>
  <c r="M1184" i="13"/>
  <c r="O1183" i="13"/>
  <c r="M1183" i="13"/>
  <c r="O1182" i="13"/>
  <c r="M1182" i="13"/>
  <c r="O1181" i="13"/>
  <c r="M1181" i="13"/>
  <c r="O1180" i="13"/>
  <c r="P1180" i="13" s="1"/>
  <c r="M1180" i="13"/>
  <c r="O1179" i="13"/>
  <c r="M1179" i="13"/>
  <c r="O1178" i="13"/>
  <c r="M1178" i="13"/>
  <c r="O1177" i="13"/>
  <c r="P1177" i="13"/>
  <c r="M1177" i="13"/>
  <c r="O1176" i="13"/>
  <c r="M1176" i="13"/>
  <c r="O1175" i="13"/>
  <c r="M1175" i="13"/>
  <c r="O1174" i="13"/>
  <c r="P1174" i="13" s="1"/>
  <c r="M1174" i="13"/>
  <c r="O1173" i="13"/>
  <c r="M1173" i="13"/>
  <c r="O1172" i="13"/>
  <c r="M1172" i="13"/>
  <c r="O1171" i="13"/>
  <c r="M1171" i="13"/>
  <c r="O1170" i="13"/>
  <c r="P1170" i="13"/>
  <c r="M1170" i="13"/>
  <c r="O1169" i="13"/>
  <c r="P1169" i="13" s="1"/>
  <c r="M1169" i="13"/>
  <c r="O1168" i="13"/>
  <c r="M1168" i="13"/>
  <c r="O1167" i="13"/>
  <c r="M1167" i="13"/>
  <c r="O1166" i="13"/>
  <c r="P1166" i="13"/>
  <c r="M1166" i="13"/>
  <c r="O1165" i="13"/>
  <c r="M1165" i="13"/>
  <c r="O1164" i="13"/>
  <c r="M1164" i="13"/>
  <c r="O1163" i="13"/>
  <c r="M1163" i="13"/>
  <c r="P1163" i="13" s="1"/>
  <c r="O1162" i="13"/>
  <c r="M1162" i="13"/>
  <c r="P1162" i="13"/>
  <c r="O1161" i="13"/>
  <c r="M1161" i="13"/>
  <c r="O1160" i="13"/>
  <c r="M1160" i="13"/>
  <c r="O1159" i="13"/>
  <c r="M1159" i="13"/>
  <c r="O1158" i="13"/>
  <c r="M1158" i="13"/>
  <c r="P1158" i="13" s="1"/>
  <c r="O1157" i="13"/>
  <c r="M1157" i="13"/>
  <c r="O1156" i="13"/>
  <c r="M1156" i="13"/>
  <c r="O1155" i="13"/>
  <c r="M1155" i="13"/>
  <c r="O1154" i="13"/>
  <c r="P1154" i="13" s="1"/>
  <c r="M1154" i="13"/>
  <c r="O1153" i="13"/>
  <c r="M1153" i="13"/>
  <c r="O1152" i="13"/>
  <c r="P1152" i="13" s="1"/>
  <c r="M1152" i="13"/>
  <c r="O1151" i="13"/>
  <c r="M1151" i="13"/>
  <c r="O1150" i="13"/>
  <c r="M1150" i="13"/>
  <c r="P1150" i="13"/>
  <c r="O1149" i="13"/>
  <c r="M1149" i="13"/>
  <c r="O1148" i="13"/>
  <c r="M1148" i="13"/>
  <c r="O1147" i="13"/>
  <c r="P1147" i="13"/>
  <c r="M1147" i="13"/>
  <c r="O1146" i="13"/>
  <c r="M1146" i="13"/>
  <c r="O1145" i="13"/>
  <c r="M1145" i="13"/>
  <c r="O1144" i="13"/>
  <c r="M1144" i="13"/>
  <c r="O1143" i="13"/>
  <c r="M1143" i="13"/>
  <c r="O1142" i="13"/>
  <c r="P1142" i="13"/>
  <c r="M1142" i="13"/>
  <c r="O1141" i="13"/>
  <c r="M1141" i="13"/>
  <c r="O1140" i="13"/>
  <c r="M1140" i="13"/>
  <c r="O1139" i="13"/>
  <c r="M1139" i="13"/>
  <c r="O1138" i="13"/>
  <c r="M1138" i="13"/>
  <c r="O1137" i="13"/>
  <c r="M1137" i="13"/>
  <c r="O1136" i="13"/>
  <c r="M1136" i="13"/>
  <c r="D1134" i="13"/>
  <c r="C1134" i="13"/>
  <c r="C1135" i="13" s="1"/>
  <c r="C1136" i="13" s="1"/>
  <c r="C1137" i="13" s="1"/>
  <c r="C1138" i="13" s="1"/>
  <c r="C1139" i="13" s="1"/>
  <c r="C1140" i="13" s="1"/>
  <c r="C1141" i="13" s="1"/>
  <c r="C1142" i="13" s="1"/>
  <c r="C1143" i="13" s="1"/>
  <c r="C1144" i="13"/>
  <c r="C1145" i="13" s="1"/>
  <c r="C1146" i="13" s="1"/>
  <c r="C1147" i="13" s="1"/>
  <c r="C1148" i="13"/>
  <c r="C1149" i="13" s="1"/>
  <c r="C1150" i="13" s="1"/>
  <c r="C1151" i="13" s="1"/>
  <c r="C1152" i="13" s="1"/>
  <c r="C1153" i="13" s="1"/>
  <c r="C1154" i="13" s="1"/>
  <c r="C1155" i="13" s="1"/>
  <c r="C1156" i="13" s="1"/>
  <c r="C1157" i="13" s="1"/>
  <c r="C1158" i="13" s="1"/>
  <c r="C1159" i="13" s="1"/>
  <c r="C1160" i="13" s="1"/>
  <c r="C1161" i="13" s="1"/>
  <c r="C1162" i="13" s="1"/>
  <c r="C1163" i="13" s="1"/>
  <c r="L1129" i="13"/>
  <c r="L1121" i="13"/>
  <c r="P1115" i="13"/>
  <c r="O1115" i="13"/>
  <c r="O1107" i="13"/>
  <c r="P1107" i="13" s="1"/>
  <c r="M1107" i="13"/>
  <c r="O1106" i="13"/>
  <c r="M1106" i="13"/>
  <c r="O1105" i="13"/>
  <c r="M1105" i="13"/>
  <c r="O1104" i="13"/>
  <c r="M1104" i="13"/>
  <c r="O1103" i="13"/>
  <c r="M1103" i="13"/>
  <c r="P1103" i="13"/>
  <c r="O1102" i="13"/>
  <c r="M1102" i="13"/>
  <c r="O1101" i="13"/>
  <c r="M1101" i="13"/>
  <c r="O1100" i="13"/>
  <c r="M1100" i="13"/>
  <c r="P1100" i="13" s="1"/>
  <c r="O1099" i="13"/>
  <c r="M1099" i="13"/>
  <c r="O1098" i="13"/>
  <c r="M1098" i="13"/>
  <c r="O1097" i="13"/>
  <c r="M1097" i="13"/>
  <c r="O1096" i="13"/>
  <c r="M1096" i="13"/>
  <c r="O1095" i="13"/>
  <c r="M1095" i="13"/>
  <c r="O1094" i="13"/>
  <c r="M1094" i="13"/>
  <c r="O1093" i="13"/>
  <c r="P1093" i="13" s="1"/>
  <c r="M1093" i="13"/>
  <c r="O1092" i="13"/>
  <c r="M1092" i="13"/>
  <c r="O1091" i="13"/>
  <c r="M1091" i="13"/>
  <c r="O1090" i="13"/>
  <c r="M1090" i="13"/>
  <c r="O1089" i="13"/>
  <c r="P1089" i="13"/>
  <c r="M1089" i="13"/>
  <c r="O1088" i="13"/>
  <c r="P1088" i="13" s="1"/>
  <c r="M1088" i="13"/>
  <c r="O1087" i="13"/>
  <c r="M1087" i="13"/>
  <c r="O1086" i="13"/>
  <c r="M1086" i="13"/>
  <c r="O1085" i="13"/>
  <c r="M1085" i="13"/>
  <c r="O1084" i="13"/>
  <c r="P1084" i="13"/>
  <c r="M1084" i="13"/>
  <c r="O1083" i="13"/>
  <c r="M1083" i="13"/>
  <c r="O1082" i="13"/>
  <c r="M1082" i="13"/>
  <c r="O1081" i="13"/>
  <c r="M1081" i="13"/>
  <c r="O1080" i="13"/>
  <c r="M1080" i="13"/>
  <c r="O1079" i="13"/>
  <c r="M1079" i="13"/>
  <c r="O1078" i="13"/>
  <c r="M1078" i="13"/>
  <c r="O1077" i="13"/>
  <c r="P1077" i="13" s="1"/>
  <c r="M1077" i="13"/>
  <c r="O1076" i="13"/>
  <c r="P1076" i="13"/>
  <c r="M1076" i="13"/>
  <c r="O1075" i="13"/>
  <c r="M1075" i="13"/>
  <c r="O1074" i="13"/>
  <c r="P1074" i="13" s="1"/>
  <c r="M1074" i="13"/>
  <c r="O1073" i="13"/>
  <c r="P1073" i="13"/>
  <c r="M1073" i="13"/>
  <c r="O1072" i="13"/>
  <c r="M1072" i="13"/>
  <c r="O1071" i="13"/>
  <c r="M1071" i="13"/>
  <c r="O1070" i="13"/>
  <c r="M1070" i="13"/>
  <c r="O1069" i="13"/>
  <c r="P1069" i="13"/>
  <c r="M1069" i="13"/>
  <c r="O1068" i="13"/>
  <c r="M1068" i="13"/>
  <c r="O1067" i="13"/>
  <c r="M1067" i="13"/>
  <c r="O1066" i="13"/>
  <c r="P1066" i="13" s="1"/>
  <c r="M1066" i="13"/>
  <c r="O1065" i="13"/>
  <c r="M1065" i="13"/>
  <c r="O1064" i="13"/>
  <c r="M1064" i="13"/>
  <c r="P1064" i="13" s="1"/>
  <c r="O1063" i="13"/>
  <c r="M1063" i="13"/>
  <c r="O1062" i="13"/>
  <c r="M1062" i="13"/>
  <c r="O1061" i="13"/>
  <c r="M1061" i="13"/>
  <c r="O1060" i="13"/>
  <c r="M1060" i="13"/>
  <c r="O1059" i="13"/>
  <c r="M1059" i="13"/>
  <c r="O1058" i="13"/>
  <c r="M1058" i="13"/>
  <c r="P1058" i="13"/>
  <c r="O1057" i="13"/>
  <c r="M1057" i="13"/>
  <c r="O1056" i="13"/>
  <c r="M1056" i="13"/>
  <c r="O1055" i="13"/>
  <c r="M1055" i="13"/>
  <c r="O1054" i="13"/>
  <c r="M1054" i="13"/>
  <c r="P1054" i="13" s="1"/>
  <c r="O1053" i="13"/>
  <c r="M1053" i="13"/>
  <c r="O1052" i="13"/>
  <c r="M1052" i="13"/>
  <c r="O1051" i="13"/>
  <c r="M1051" i="13"/>
  <c r="D1048" i="13"/>
  <c r="C1048" i="13"/>
  <c r="C1049" i="13" s="1"/>
  <c r="C1050" i="13"/>
  <c r="C1051" i="13" s="1"/>
  <c r="C1052" i="13" s="1"/>
  <c r="C1053" i="13" s="1"/>
  <c r="C1054" i="13"/>
  <c r="C1055" i="13" s="1"/>
  <c r="C1056" i="13" s="1"/>
  <c r="C1057" i="13" s="1"/>
  <c r="C1058" i="13" s="1"/>
  <c r="C1059" i="13" s="1"/>
  <c r="C1060" i="13" s="1"/>
  <c r="C1061" i="13" s="1"/>
  <c r="C1062" i="13" s="1"/>
  <c r="C1063" i="13" s="1"/>
  <c r="C1064" i="13" s="1"/>
  <c r="C1065" i="13" s="1"/>
  <c r="C1066" i="13"/>
  <c r="C1067" i="13" s="1"/>
  <c r="C1068" i="13" s="1"/>
  <c r="C1069" i="13" s="1"/>
  <c r="C1070" i="13"/>
  <c r="C1071" i="13" s="1"/>
  <c r="C1072" i="13" s="1"/>
  <c r="C1073" i="13" s="1"/>
  <c r="C1074" i="13" s="1"/>
  <c r="C1075" i="13" s="1"/>
  <c r="C1076" i="13" s="1"/>
  <c r="C1077" i="13" s="1"/>
  <c r="L1043" i="13"/>
  <c r="L1035" i="13"/>
  <c r="P1029" i="13"/>
  <c r="O1029" i="13"/>
  <c r="O1021" i="13"/>
  <c r="M1021" i="13"/>
  <c r="O1020" i="13"/>
  <c r="M1020" i="13"/>
  <c r="O1019" i="13"/>
  <c r="P1019" i="13" s="1"/>
  <c r="M1019" i="13"/>
  <c r="O1018" i="13"/>
  <c r="P1018" i="13"/>
  <c r="M1018" i="13"/>
  <c r="O1017" i="13"/>
  <c r="M1017" i="13"/>
  <c r="O1016" i="13"/>
  <c r="M1016" i="13"/>
  <c r="O1015" i="13"/>
  <c r="M1015" i="13"/>
  <c r="O1014" i="13"/>
  <c r="P1014" i="13"/>
  <c r="M1014" i="13"/>
  <c r="O1013" i="13"/>
  <c r="M1013" i="13"/>
  <c r="O1012" i="13"/>
  <c r="M1012" i="13"/>
  <c r="O1011" i="13"/>
  <c r="M1011" i="13"/>
  <c r="O1010" i="13"/>
  <c r="M1010" i="13"/>
  <c r="O1009" i="13"/>
  <c r="M1009" i="13"/>
  <c r="O1008" i="13"/>
  <c r="M1008" i="13"/>
  <c r="O1007" i="13"/>
  <c r="P1007" i="13" s="1"/>
  <c r="M1007" i="13"/>
  <c r="O1006" i="13"/>
  <c r="P1006" i="13"/>
  <c r="M1006" i="13"/>
  <c r="O1005" i="13"/>
  <c r="M1005" i="13"/>
  <c r="O1004" i="13"/>
  <c r="M1004" i="13"/>
  <c r="O1003" i="13"/>
  <c r="M1003" i="13"/>
  <c r="O1002" i="13"/>
  <c r="M1002" i="13"/>
  <c r="O1001" i="13"/>
  <c r="M1001" i="13"/>
  <c r="O1000" i="13"/>
  <c r="M1000" i="13"/>
  <c r="P1000" i="13"/>
  <c r="O999" i="13"/>
  <c r="M999" i="13"/>
  <c r="P999" i="13" s="1"/>
  <c r="O998" i="13"/>
  <c r="M998" i="13"/>
  <c r="O997" i="13"/>
  <c r="M997" i="13"/>
  <c r="O996" i="13"/>
  <c r="M996" i="13"/>
  <c r="O995" i="13"/>
  <c r="M995" i="13"/>
  <c r="P995" i="13"/>
  <c r="O994" i="13"/>
  <c r="M994" i="13"/>
  <c r="O993" i="13"/>
  <c r="M993" i="13"/>
  <c r="O992" i="13"/>
  <c r="M992" i="13"/>
  <c r="O991" i="13"/>
  <c r="M991" i="13"/>
  <c r="O990" i="13"/>
  <c r="M990" i="13"/>
  <c r="O989" i="13"/>
  <c r="M989" i="13"/>
  <c r="O988" i="13"/>
  <c r="M988" i="13"/>
  <c r="O987" i="13"/>
  <c r="M987" i="13"/>
  <c r="O986" i="13"/>
  <c r="M986" i="13"/>
  <c r="O985" i="13"/>
  <c r="M985" i="13"/>
  <c r="P985" i="13" s="1"/>
  <c r="O984" i="13"/>
  <c r="P984" i="13" s="1"/>
  <c r="M984" i="13"/>
  <c r="O983" i="13"/>
  <c r="P983" i="13"/>
  <c r="M983" i="13"/>
  <c r="O982" i="13"/>
  <c r="M982" i="13"/>
  <c r="O981" i="13"/>
  <c r="M981" i="13"/>
  <c r="O980" i="13"/>
  <c r="M980" i="13"/>
  <c r="O979" i="13"/>
  <c r="P979" i="13"/>
  <c r="M979" i="13"/>
  <c r="O978" i="13"/>
  <c r="P978" i="13" s="1"/>
  <c r="M978" i="13"/>
  <c r="O977" i="13"/>
  <c r="M977" i="13"/>
  <c r="O976" i="13"/>
  <c r="M976" i="13"/>
  <c r="P976" i="13"/>
  <c r="O975" i="13"/>
  <c r="P975" i="13"/>
  <c r="M975" i="13"/>
  <c r="O974" i="13"/>
  <c r="M974" i="13"/>
  <c r="O973" i="13"/>
  <c r="M973" i="13"/>
  <c r="O972" i="13"/>
  <c r="P972" i="13"/>
  <c r="M972" i="13"/>
  <c r="O971" i="13"/>
  <c r="P971" i="13" s="1"/>
  <c r="M971" i="13"/>
  <c r="O970" i="13"/>
  <c r="M970" i="13"/>
  <c r="O969" i="13"/>
  <c r="M969" i="13"/>
  <c r="P969" i="13"/>
  <c r="O968" i="13"/>
  <c r="P968" i="13"/>
  <c r="M968" i="13"/>
  <c r="O967" i="13"/>
  <c r="M967" i="13"/>
  <c r="D962" i="13"/>
  <c r="C962" i="13"/>
  <c r="C963" i="13"/>
  <c r="C964" i="13" s="1"/>
  <c r="C965" i="13" s="1"/>
  <c r="C966" i="13" s="1"/>
  <c r="C967" i="13"/>
  <c r="C968" i="13" s="1"/>
  <c r="C969" i="13" s="1"/>
  <c r="C970" i="13" s="1"/>
  <c r="C971" i="13"/>
  <c r="C972" i="13" s="1"/>
  <c r="C973" i="13" s="1"/>
  <c r="C974" i="13" s="1"/>
  <c r="C975" i="13" s="1"/>
  <c r="C976" i="13" s="1"/>
  <c r="C977" i="13" s="1"/>
  <c r="C978" i="13" s="1"/>
  <c r="C979" i="13" s="1"/>
  <c r="C980" i="13" s="1"/>
  <c r="C981" i="13" s="1"/>
  <c r="C982" i="13" s="1"/>
  <c r="C983" i="13" s="1"/>
  <c r="C984" i="13" s="1"/>
  <c r="C985" i="13" s="1"/>
  <c r="C986" i="13" s="1"/>
  <c r="C987" i="13" s="1"/>
  <c r="C988" i="13" s="1"/>
  <c r="C989" i="13" s="1"/>
  <c r="C990" i="13" s="1"/>
  <c r="C991" i="13" s="1"/>
  <c r="L957" i="13"/>
  <c r="L949" i="13"/>
  <c r="P943" i="13"/>
  <c r="O943" i="13"/>
  <c r="O935" i="13"/>
  <c r="P935" i="13"/>
  <c r="M935" i="13"/>
  <c r="O934" i="13"/>
  <c r="M934" i="13"/>
  <c r="O933" i="13"/>
  <c r="M933" i="13"/>
  <c r="O932" i="13"/>
  <c r="M932" i="13"/>
  <c r="O931" i="13"/>
  <c r="M931" i="13"/>
  <c r="O930" i="13"/>
  <c r="P930" i="13"/>
  <c r="M930" i="13"/>
  <c r="O929" i="13"/>
  <c r="M929" i="13"/>
  <c r="P929" i="13"/>
  <c r="O928" i="13"/>
  <c r="M928" i="13"/>
  <c r="O927" i="13"/>
  <c r="M927" i="13"/>
  <c r="O926" i="13"/>
  <c r="M926" i="13"/>
  <c r="O925" i="13"/>
  <c r="M925" i="13"/>
  <c r="P925" i="13" s="1"/>
  <c r="O924" i="13"/>
  <c r="M924" i="13"/>
  <c r="P924" i="13"/>
  <c r="O923" i="13"/>
  <c r="M923" i="13"/>
  <c r="O922" i="13"/>
  <c r="M922" i="13"/>
  <c r="O921" i="13"/>
  <c r="P921" i="13" s="1"/>
  <c r="M921" i="13"/>
  <c r="O920" i="13"/>
  <c r="M920" i="13"/>
  <c r="P920" i="13"/>
  <c r="O919" i="13"/>
  <c r="M919" i="13"/>
  <c r="O918" i="13"/>
  <c r="M918" i="13"/>
  <c r="O917" i="13"/>
  <c r="M917" i="13"/>
  <c r="O916" i="13"/>
  <c r="M916" i="13"/>
  <c r="O915" i="13"/>
  <c r="M915" i="13"/>
  <c r="O914" i="13"/>
  <c r="M914" i="13"/>
  <c r="O913" i="13"/>
  <c r="M913" i="13"/>
  <c r="O912" i="13"/>
  <c r="M912" i="13"/>
  <c r="O911" i="13"/>
  <c r="M911" i="13"/>
  <c r="O910" i="13"/>
  <c r="P910" i="13" s="1"/>
  <c r="M910" i="13"/>
  <c r="O909" i="13"/>
  <c r="P909" i="13"/>
  <c r="M909" i="13"/>
  <c r="O908" i="13"/>
  <c r="M908" i="13"/>
  <c r="O907" i="13"/>
  <c r="M907" i="13"/>
  <c r="P907" i="13" s="1"/>
  <c r="O906" i="13"/>
  <c r="M906" i="13"/>
  <c r="O905" i="13"/>
  <c r="M905" i="13"/>
  <c r="O904" i="13"/>
  <c r="P904" i="13"/>
  <c r="M904" i="13"/>
  <c r="O903" i="13"/>
  <c r="P903" i="13" s="1"/>
  <c r="M903" i="13"/>
  <c r="O902" i="13"/>
  <c r="M902" i="13"/>
  <c r="O901" i="13"/>
  <c r="P901" i="13"/>
  <c r="M901" i="13"/>
  <c r="O900" i="13"/>
  <c r="P900" i="13" s="1"/>
  <c r="M900" i="13"/>
  <c r="O899" i="13"/>
  <c r="M899" i="13"/>
  <c r="P899" i="13" s="1"/>
  <c r="O898" i="13"/>
  <c r="M898" i="13"/>
  <c r="O897" i="13"/>
  <c r="M897" i="13"/>
  <c r="O896" i="13"/>
  <c r="P896" i="13"/>
  <c r="M896" i="13"/>
  <c r="O895" i="13"/>
  <c r="P895" i="13" s="1"/>
  <c r="M895" i="13"/>
  <c r="O894" i="13"/>
  <c r="M894" i="13"/>
  <c r="O893" i="13"/>
  <c r="P893" i="13" s="1"/>
  <c r="M893" i="13"/>
  <c r="O892" i="13"/>
  <c r="M892" i="13"/>
  <c r="O891" i="13"/>
  <c r="P891" i="13" s="1"/>
  <c r="M891" i="13"/>
  <c r="O890" i="13"/>
  <c r="M890" i="13"/>
  <c r="O889" i="13"/>
  <c r="M889" i="13"/>
  <c r="O888" i="13"/>
  <c r="P888" i="13" s="1"/>
  <c r="M888" i="13"/>
  <c r="O887" i="13"/>
  <c r="M887" i="13"/>
  <c r="O886" i="13"/>
  <c r="M886" i="13"/>
  <c r="O885" i="13"/>
  <c r="M885" i="13"/>
  <c r="O884" i="13"/>
  <c r="M884" i="13"/>
  <c r="O883" i="13"/>
  <c r="M883" i="13"/>
  <c r="O882" i="13"/>
  <c r="M882" i="13"/>
  <c r="O881" i="13"/>
  <c r="P881" i="13" s="1"/>
  <c r="M881" i="13"/>
  <c r="O880" i="13"/>
  <c r="P880" i="13"/>
  <c r="M880" i="13"/>
  <c r="O879" i="13"/>
  <c r="M879" i="13"/>
  <c r="D876" i="13"/>
  <c r="C876" i="13"/>
  <c r="C877" i="13" s="1"/>
  <c r="C878" i="13"/>
  <c r="C879" i="13"/>
  <c r="C880" i="13" s="1"/>
  <c r="C881" i="13" s="1"/>
  <c r="C882" i="13"/>
  <c r="C883" i="13" s="1"/>
  <c r="C884" i="13" s="1"/>
  <c r="C885" i="13" s="1"/>
  <c r="C886" i="13" s="1"/>
  <c r="C887" i="13"/>
  <c r="C888" i="13" s="1"/>
  <c r="C889" i="13" s="1"/>
  <c r="C890" i="13" s="1"/>
  <c r="C891" i="13" s="1"/>
  <c r="C892" i="13" s="1"/>
  <c r="C893" i="13" s="1"/>
  <c r="C894" i="13" s="1"/>
  <c r="C895" i="13" s="1"/>
  <c r="C896" i="13" s="1"/>
  <c r="C897" i="13" s="1"/>
  <c r="C898" i="13"/>
  <c r="C899" i="13" s="1"/>
  <c r="C900" i="13" s="1"/>
  <c r="C901" i="13" s="1"/>
  <c r="C902" i="13" s="1"/>
  <c r="C903" i="13" s="1"/>
  <c r="C904" i="13" s="1"/>
  <c r="C905" i="13" s="1"/>
  <c r="L871" i="13"/>
  <c r="L863" i="13"/>
  <c r="P857" i="13"/>
  <c r="O857" i="13"/>
  <c r="O849" i="13"/>
  <c r="P849" i="13" s="1"/>
  <c r="M849" i="13"/>
  <c r="O848" i="13"/>
  <c r="M848" i="13"/>
  <c r="O847" i="13"/>
  <c r="P847" i="13" s="1"/>
  <c r="M847" i="13"/>
  <c r="O846" i="13"/>
  <c r="M846" i="13"/>
  <c r="O845" i="13"/>
  <c r="M845" i="13"/>
  <c r="O844" i="13"/>
  <c r="M844" i="13"/>
  <c r="O843" i="13"/>
  <c r="M843" i="13"/>
  <c r="P843" i="13"/>
  <c r="O842" i="13"/>
  <c r="M842" i="13"/>
  <c r="P842" i="13"/>
  <c r="O841" i="13"/>
  <c r="P841" i="13" s="1"/>
  <c r="M841" i="13"/>
  <c r="O840" i="13"/>
  <c r="M840" i="13"/>
  <c r="O839" i="13"/>
  <c r="M839" i="13"/>
  <c r="P839" i="13" s="1"/>
  <c r="O838" i="13"/>
  <c r="M838" i="13"/>
  <c r="P838" i="13"/>
  <c r="O837" i="13"/>
  <c r="P837" i="13" s="1"/>
  <c r="M837" i="13"/>
  <c r="O836" i="13"/>
  <c r="M836" i="13"/>
  <c r="O835" i="13"/>
  <c r="M835" i="13"/>
  <c r="O834" i="13"/>
  <c r="M834" i="13"/>
  <c r="O833" i="13"/>
  <c r="M833" i="13"/>
  <c r="O832" i="13"/>
  <c r="M832" i="13"/>
  <c r="O831" i="13"/>
  <c r="M831" i="13"/>
  <c r="O830" i="13"/>
  <c r="P830" i="13" s="1"/>
  <c r="M830" i="13"/>
  <c r="O829" i="13"/>
  <c r="P829" i="13"/>
  <c r="M829" i="13"/>
  <c r="O828" i="13"/>
  <c r="M828" i="13"/>
  <c r="O827" i="13"/>
  <c r="P827" i="13" s="1"/>
  <c r="M827" i="13"/>
  <c r="O826" i="13"/>
  <c r="P826" i="13" s="1"/>
  <c r="M826" i="13"/>
  <c r="O825" i="13"/>
  <c r="M825" i="13"/>
  <c r="O824" i="13"/>
  <c r="P824" i="13" s="1"/>
  <c r="M824" i="13"/>
  <c r="O823" i="13"/>
  <c r="P823" i="13" s="1"/>
  <c r="M823" i="13"/>
  <c r="O822" i="13"/>
  <c r="M822" i="13"/>
  <c r="O821" i="13"/>
  <c r="M821" i="13"/>
  <c r="O820" i="13"/>
  <c r="M820" i="13"/>
  <c r="O819" i="13"/>
  <c r="P819" i="13" s="1"/>
  <c r="M819" i="13"/>
  <c r="O818" i="13"/>
  <c r="P818" i="13"/>
  <c r="M818" i="13"/>
  <c r="O817" i="13"/>
  <c r="M817" i="13"/>
  <c r="O816" i="13"/>
  <c r="P816" i="13" s="1"/>
  <c r="M816" i="13"/>
  <c r="O815" i="13"/>
  <c r="P815" i="13" s="1"/>
  <c r="M815" i="13"/>
  <c r="O814" i="13"/>
  <c r="P814" i="13"/>
  <c r="M814" i="13"/>
  <c r="O813" i="13"/>
  <c r="M813" i="13"/>
  <c r="O812" i="13"/>
  <c r="M812" i="13"/>
  <c r="O811" i="13"/>
  <c r="M811" i="13"/>
  <c r="O810" i="13"/>
  <c r="M810" i="13"/>
  <c r="O809" i="13"/>
  <c r="M809" i="13"/>
  <c r="O808" i="13"/>
  <c r="P808" i="13" s="1"/>
  <c r="M808" i="13"/>
  <c r="O807" i="13"/>
  <c r="M807" i="13"/>
  <c r="O806" i="13"/>
  <c r="P806" i="13" s="1"/>
  <c r="M806" i="13"/>
  <c r="O805" i="13"/>
  <c r="M805" i="13"/>
  <c r="O804" i="13"/>
  <c r="M804" i="13"/>
  <c r="O803" i="13"/>
  <c r="P803" i="13"/>
  <c r="M803" i="13"/>
  <c r="O802" i="13"/>
  <c r="M802" i="13"/>
  <c r="P802" i="13"/>
  <c r="O801" i="13"/>
  <c r="M801" i="13"/>
  <c r="O800" i="13"/>
  <c r="P800" i="13"/>
  <c r="M800" i="13"/>
  <c r="O799" i="13"/>
  <c r="M799" i="13"/>
  <c r="P799" i="13" s="1"/>
  <c r="O798" i="13"/>
  <c r="P798" i="13" s="1"/>
  <c r="M798" i="13"/>
  <c r="O797" i="13"/>
  <c r="M797" i="13"/>
  <c r="P797" i="13" s="1"/>
  <c r="O796" i="13"/>
  <c r="M796" i="13"/>
  <c r="O795" i="13"/>
  <c r="P795" i="13"/>
  <c r="M795" i="13"/>
  <c r="D790" i="13"/>
  <c r="C790" i="13"/>
  <c r="C791" i="13"/>
  <c r="C792" i="13" s="1"/>
  <c r="C793" i="13" s="1"/>
  <c r="C794" i="13"/>
  <c r="C795" i="13" s="1"/>
  <c r="C796" i="13" s="1"/>
  <c r="C797" i="13" s="1"/>
  <c r="C798" i="13" s="1"/>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M778" i="13" s="1"/>
  <c r="L785" i="13"/>
  <c r="L777" i="13"/>
  <c r="P771" i="13"/>
  <c r="O771" i="13"/>
  <c r="O763" i="13"/>
  <c r="M763" i="13"/>
  <c r="O762" i="13"/>
  <c r="M762" i="13"/>
  <c r="O761" i="13"/>
  <c r="M761" i="13"/>
  <c r="O760" i="13"/>
  <c r="P760" i="13"/>
  <c r="M760" i="13"/>
  <c r="O759" i="13"/>
  <c r="M759" i="13"/>
  <c r="O758" i="13"/>
  <c r="P758" i="13" s="1"/>
  <c r="M758" i="13"/>
  <c r="O757" i="13"/>
  <c r="M757" i="13"/>
  <c r="O756" i="13"/>
  <c r="M756" i="13"/>
  <c r="O755" i="13"/>
  <c r="P755" i="13"/>
  <c r="M755" i="13"/>
  <c r="O754" i="13"/>
  <c r="M754" i="13"/>
  <c r="P754" i="13" s="1"/>
  <c r="O753" i="13"/>
  <c r="M753" i="13"/>
  <c r="P753" i="13"/>
  <c r="O752" i="13"/>
  <c r="M752" i="13"/>
  <c r="O751" i="13"/>
  <c r="M751" i="13"/>
  <c r="P751" i="13" s="1"/>
  <c r="O750" i="13"/>
  <c r="M750" i="13"/>
  <c r="O749" i="13"/>
  <c r="P749" i="13"/>
  <c r="M749" i="13"/>
  <c r="O748" i="13"/>
  <c r="M748" i="13"/>
  <c r="O747" i="13"/>
  <c r="P747" i="13" s="1"/>
  <c r="M747" i="13"/>
  <c r="O746" i="13"/>
  <c r="M746" i="13"/>
  <c r="O745" i="13"/>
  <c r="M745" i="13"/>
  <c r="O744" i="13"/>
  <c r="M744" i="13"/>
  <c r="O743" i="13"/>
  <c r="P743" i="13" s="1"/>
  <c r="M743" i="13"/>
  <c r="O742" i="13"/>
  <c r="M742" i="13"/>
  <c r="O741" i="13"/>
  <c r="M741" i="13"/>
  <c r="O740" i="13"/>
  <c r="P740" i="13" s="1"/>
  <c r="M740" i="13"/>
  <c r="O739" i="13"/>
  <c r="P739" i="13" s="1"/>
  <c r="M739" i="13"/>
  <c r="O738" i="13"/>
  <c r="M738" i="13"/>
  <c r="P738" i="13" s="1"/>
  <c r="O737" i="13"/>
  <c r="M737" i="13"/>
  <c r="O736" i="13"/>
  <c r="M736" i="13"/>
  <c r="O735" i="13"/>
  <c r="M735" i="13"/>
  <c r="P735" i="13"/>
  <c r="O734" i="13"/>
  <c r="M734" i="13"/>
  <c r="O733" i="13"/>
  <c r="M733" i="13"/>
  <c r="O732" i="13"/>
  <c r="M732" i="13"/>
  <c r="O731" i="13"/>
  <c r="M731" i="13"/>
  <c r="O730" i="13"/>
  <c r="M730" i="13"/>
  <c r="O729" i="13"/>
  <c r="M729" i="13"/>
  <c r="P729" i="13" s="1"/>
  <c r="O728" i="13"/>
  <c r="M728" i="13"/>
  <c r="P728" i="13"/>
  <c r="O727" i="13"/>
  <c r="P727" i="13" s="1"/>
  <c r="M727" i="13"/>
  <c r="O726" i="13"/>
  <c r="M726" i="13"/>
  <c r="O725" i="13"/>
  <c r="P725" i="13" s="1"/>
  <c r="M725" i="13"/>
  <c r="O724" i="13"/>
  <c r="M724" i="13"/>
  <c r="O723" i="13"/>
  <c r="M723" i="13"/>
  <c r="P723" i="13" s="1"/>
  <c r="O722" i="13"/>
  <c r="M722" i="13"/>
  <c r="O721" i="13"/>
  <c r="P721" i="13" s="1"/>
  <c r="M721" i="13"/>
  <c r="O720" i="13"/>
  <c r="M720" i="13"/>
  <c r="O719" i="13"/>
  <c r="M719" i="13"/>
  <c r="O718" i="13"/>
  <c r="M718" i="13"/>
  <c r="O717" i="13"/>
  <c r="M717" i="13"/>
  <c r="O716" i="13"/>
  <c r="M716" i="13"/>
  <c r="P716" i="13" s="1"/>
  <c r="O715" i="13"/>
  <c r="M715" i="13"/>
  <c r="O714" i="13"/>
  <c r="P714" i="13" s="1"/>
  <c r="M714" i="13"/>
  <c r="O713" i="13"/>
  <c r="M713" i="13"/>
  <c r="O712" i="13"/>
  <c r="P712" i="13" s="1"/>
  <c r="M712" i="13"/>
  <c r="O711" i="13"/>
  <c r="M711" i="13"/>
  <c r="O710" i="13"/>
  <c r="P710" i="13" s="1"/>
  <c r="M710" i="13"/>
  <c r="O709" i="13"/>
  <c r="M709" i="13"/>
  <c r="O708" i="13"/>
  <c r="M708" i="13"/>
  <c r="P708" i="13" s="1"/>
  <c r="D704" i="13"/>
  <c r="C704" i="13"/>
  <c r="C705" i="13"/>
  <c r="C706" i="13" s="1"/>
  <c r="C707" i="13" s="1"/>
  <c r="C708" i="13" s="1"/>
  <c r="C709" i="13" s="1"/>
  <c r="C710" i="13" s="1"/>
  <c r="C711" i="13" s="1"/>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L699" i="13"/>
  <c r="L691" i="13"/>
  <c r="P685" i="13"/>
  <c r="O685" i="13"/>
  <c r="O677" i="13"/>
  <c r="P677" i="13" s="1"/>
  <c r="M677" i="13"/>
  <c r="O676" i="13"/>
  <c r="M676" i="13"/>
  <c r="O675" i="13"/>
  <c r="P675" i="13"/>
  <c r="M675" i="13"/>
  <c r="O674" i="13"/>
  <c r="M674" i="13"/>
  <c r="O673" i="13"/>
  <c r="P673" i="13" s="1"/>
  <c r="M673" i="13"/>
  <c r="O672" i="13"/>
  <c r="M672" i="13"/>
  <c r="O671" i="13"/>
  <c r="M671" i="13"/>
  <c r="O670" i="13"/>
  <c r="M670" i="13"/>
  <c r="O669" i="13"/>
  <c r="P669" i="13" s="1"/>
  <c r="M669" i="13"/>
  <c r="O668" i="13"/>
  <c r="P668" i="13"/>
  <c r="M668" i="13"/>
  <c r="O667" i="13"/>
  <c r="M667" i="13"/>
  <c r="O666" i="13"/>
  <c r="M666" i="13"/>
  <c r="O665" i="13"/>
  <c r="M665" i="13"/>
  <c r="O664" i="13"/>
  <c r="P664" i="13" s="1"/>
  <c r="M664" i="13"/>
  <c r="O663" i="13"/>
  <c r="P663" i="13"/>
  <c r="M663" i="13"/>
  <c r="O662" i="13"/>
  <c r="M662" i="13"/>
  <c r="P662" i="13" s="1"/>
  <c r="O661" i="13"/>
  <c r="M661" i="13"/>
  <c r="P661" i="13" s="1"/>
  <c r="O660" i="13"/>
  <c r="M660" i="13"/>
  <c r="O659" i="13"/>
  <c r="M659" i="13"/>
  <c r="O658" i="13"/>
  <c r="M658" i="13"/>
  <c r="O657" i="13"/>
  <c r="M657" i="13"/>
  <c r="O656" i="13"/>
  <c r="M656" i="13"/>
  <c r="O655" i="13"/>
  <c r="M655" i="13"/>
  <c r="O654" i="13"/>
  <c r="P654" i="13" s="1"/>
  <c r="M654" i="13"/>
  <c r="O653" i="13"/>
  <c r="P653" i="13" s="1"/>
  <c r="M653" i="13"/>
  <c r="O652" i="13"/>
  <c r="M652" i="13"/>
  <c r="O651" i="13"/>
  <c r="P651" i="13" s="1"/>
  <c r="M651" i="13"/>
  <c r="O650" i="13"/>
  <c r="P650" i="13" s="1"/>
  <c r="M650" i="13"/>
  <c r="O649" i="13"/>
  <c r="P649" i="13"/>
  <c r="M649" i="13"/>
  <c r="O648" i="13"/>
  <c r="M648" i="13"/>
  <c r="O647" i="13"/>
  <c r="P647" i="13" s="1"/>
  <c r="M647" i="13"/>
  <c r="O646" i="13"/>
  <c r="M646" i="13"/>
  <c r="P646" i="13" s="1"/>
  <c r="O645" i="13"/>
  <c r="M645" i="13"/>
  <c r="P645" i="13" s="1"/>
  <c r="O644" i="13"/>
  <c r="M644" i="13"/>
  <c r="O643" i="13"/>
  <c r="M643" i="13"/>
  <c r="O642" i="13"/>
  <c r="P642" i="13" s="1"/>
  <c r="M642" i="13"/>
  <c r="O641" i="13"/>
  <c r="M641" i="13"/>
  <c r="O640" i="13"/>
  <c r="M640" i="13"/>
  <c r="O639" i="13"/>
  <c r="M639" i="13"/>
  <c r="O638" i="13"/>
  <c r="M638" i="13"/>
  <c r="O637" i="13"/>
  <c r="M637" i="13"/>
  <c r="O636" i="13"/>
  <c r="M636" i="13"/>
  <c r="O635" i="13"/>
  <c r="P635" i="13" s="1"/>
  <c r="M635" i="13"/>
  <c r="O634" i="13"/>
  <c r="M634" i="13"/>
  <c r="P634" i="13"/>
  <c r="O633" i="13"/>
  <c r="M633" i="13"/>
  <c r="P633" i="13"/>
  <c r="O632" i="13"/>
  <c r="M632" i="13"/>
  <c r="O631" i="13"/>
  <c r="M631" i="13"/>
  <c r="P631" i="13"/>
  <c r="O630" i="13"/>
  <c r="M630" i="13"/>
  <c r="O629" i="13"/>
  <c r="P629" i="13"/>
  <c r="M629" i="13"/>
  <c r="O628" i="13"/>
  <c r="M628" i="13"/>
  <c r="O627" i="13"/>
  <c r="M627" i="13"/>
  <c r="O626" i="13"/>
  <c r="M626" i="13"/>
  <c r="P626" i="13"/>
  <c r="O625" i="13"/>
  <c r="M625" i="13"/>
  <c r="O624" i="13"/>
  <c r="M624" i="13"/>
  <c r="O623" i="13"/>
  <c r="M623" i="13"/>
  <c r="O622" i="13"/>
  <c r="M622" i="13"/>
  <c r="O621" i="13"/>
  <c r="M621" i="13"/>
  <c r="D618" i="13"/>
  <c r="C618" i="13"/>
  <c r="C619" i="13" s="1"/>
  <c r="C620" i="13" s="1"/>
  <c r="C621" i="13" s="1"/>
  <c r="C622" i="13" s="1"/>
  <c r="C623" i="13" s="1"/>
  <c r="C624" i="13" s="1"/>
  <c r="C625" i="13" s="1"/>
  <c r="C626" i="13" s="1"/>
  <c r="C627" i="13" s="1"/>
  <c r="C628" i="13" s="1"/>
  <c r="C629" i="13" s="1"/>
  <c r="C630" i="13" s="1"/>
  <c r="C631" i="13" s="1"/>
  <c r="C632" i="13" s="1"/>
  <c r="C633" i="13"/>
  <c r="C634" i="13" s="1"/>
  <c r="C635" i="13" s="1"/>
  <c r="C636" i="13" s="1"/>
  <c r="C637" i="13" s="1"/>
  <c r="C638" i="13" s="1"/>
  <c r="C639" i="13" s="1"/>
  <c r="C640" i="13" s="1"/>
  <c r="C641" i="13" s="1"/>
  <c r="C642" i="13" s="1"/>
  <c r="C643" i="13" s="1"/>
  <c r="C644" i="13" s="1"/>
  <c r="C645" i="13" s="1"/>
  <c r="C646" i="13" s="1"/>
  <c r="C647" i="13" s="1"/>
  <c r="L613" i="13"/>
  <c r="L605" i="13"/>
  <c r="P599" i="13"/>
  <c r="O599" i="13"/>
  <c r="O591" i="13"/>
  <c r="M591" i="13"/>
  <c r="O590" i="13"/>
  <c r="P590" i="13" s="1"/>
  <c r="M590" i="13"/>
  <c r="O589" i="13"/>
  <c r="M589" i="13"/>
  <c r="O588" i="13"/>
  <c r="M588" i="13"/>
  <c r="P588" i="13"/>
  <c r="O587" i="13"/>
  <c r="M587" i="13"/>
  <c r="O586" i="13"/>
  <c r="M586" i="13"/>
  <c r="O585" i="13"/>
  <c r="M585" i="13"/>
  <c r="O584" i="13"/>
  <c r="M584" i="13"/>
  <c r="O583" i="13"/>
  <c r="M583" i="13"/>
  <c r="O582" i="13"/>
  <c r="M582" i="13"/>
  <c r="O581" i="13"/>
  <c r="M581" i="13"/>
  <c r="O580" i="13"/>
  <c r="M580" i="13"/>
  <c r="P580" i="13" s="1"/>
  <c r="O579" i="13"/>
  <c r="M579" i="13"/>
  <c r="O578" i="13"/>
  <c r="M578" i="13"/>
  <c r="O577" i="13"/>
  <c r="M577" i="13"/>
  <c r="O576" i="13"/>
  <c r="P576" i="13"/>
  <c r="M576" i="13"/>
  <c r="O575" i="13"/>
  <c r="M575" i="13"/>
  <c r="P575" i="13" s="1"/>
  <c r="O574" i="13"/>
  <c r="M574" i="13"/>
  <c r="O573" i="13"/>
  <c r="M573" i="13"/>
  <c r="O572" i="13"/>
  <c r="M572" i="13"/>
  <c r="P572" i="13" s="1"/>
  <c r="O571" i="13"/>
  <c r="M571" i="13"/>
  <c r="O570" i="13"/>
  <c r="M570" i="13"/>
  <c r="O569" i="13"/>
  <c r="P569" i="13" s="1"/>
  <c r="M569" i="13"/>
  <c r="O568" i="13"/>
  <c r="P568" i="13" s="1"/>
  <c r="M568" i="13"/>
  <c r="O567" i="13"/>
  <c r="P567" i="13" s="1"/>
  <c r="M567" i="13"/>
  <c r="O566" i="13"/>
  <c r="M566" i="13"/>
  <c r="P566" i="13" s="1"/>
  <c r="O565" i="13"/>
  <c r="M565" i="13"/>
  <c r="O564" i="13"/>
  <c r="P564" i="13" s="1"/>
  <c r="M564" i="13"/>
  <c r="O563" i="13"/>
  <c r="M563" i="13"/>
  <c r="O562" i="13"/>
  <c r="P562" i="13" s="1"/>
  <c r="M562" i="13"/>
  <c r="O561" i="13"/>
  <c r="M561" i="13"/>
  <c r="O560" i="13"/>
  <c r="M560" i="13"/>
  <c r="O559" i="13"/>
  <c r="M559" i="13"/>
  <c r="O558" i="13"/>
  <c r="M558" i="13"/>
  <c r="O557" i="13"/>
  <c r="M557" i="13"/>
  <c r="O556" i="13"/>
  <c r="M556" i="13"/>
  <c r="O555" i="13"/>
  <c r="P555" i="13" s="1"/>
  <c r="M555" i="13"/>
  <c r="O554" i="13"/>
  <c r="M554" i="13"/>
  <c r="O553" i="13"/>
  <c r="M553" i="13"/>
  <c r="O552" i="13"/>
  <c r="M552" i="13"/>
  <c r="O551" i="13"/>
  <c r="M551" i="13"/>
  <c r="O550" i="13"/>
  <c r="M550" i="13"/>
  <c r="O549" i="13"/>
  <c r="M549" i="13"/>
  <c r="P549" i="13"/>
  <c r="O548" i="13"/>
  <c r="P548" i="13" s="1"/>
  <c r="M548" i="13"/>
  <c r="O547" i="13"/>
  <c r="M547" i="13"/>
  <c r="O546" i="13"/>
  <c r="M546" i="13"/>
  <c r="O545" i="13"/>
  <c r="P545" i="13" s="1"/>
  <c r="M545" i="13"/>
  <c r="O544" i="13"/>
  <c r="P544" i="13"/>
  <c r="M544" i="13"/>
  <c r="O543" i="13"/>
  <c r="M543" i="13"/>
  <c r="O542" i="13"/>
  <c r="M542" i="13"/>
  <c r="O541" i="13"/>
  <c r="M541" i="13"/>
  <c r="O540" i="13"/>
  <c r="P540" i="13" s="1"/>
  <c r="M540" i="13"/>
  <c r="O539" i="13"/>
  <c r="M539" i="13"/>
  <c r="O538" i="13"/>
  <c r="M538" i="13"/>
  <c r="O537" i="13"/>
  <c r="M537" i="13"/>
  <c r="O536" i="13"/>
  <c r="P536" i="13" s="1"/>
  <c r="M536" i="13"/>
  <c r="D532" i="13"/>
  <c r="C532" i="13"/>
  <c r="C533" i="13" s="1"/>
  <c r="C534" i="13" s="1"/>
  <c r="C535" i="13" s="1"/>
  <c r="C536" i="13" s="1"/>
  <c r="C537" i="13" s="1"/>
  <c r="C538" i="13" s="1"/>
  <c r="C539" i="13"/>
  <c r="C540" i="13"/>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L527" i="13"/>
  <c r="L519" i="13"/>
  <c r="P513" i="13"/>
  <c r="O513" i="13"/>
  <c r="O505" i="13"/>
  <c r="M505" i="13"/>
  <c r="O504" i="13"/>
  <c r="M504" i="13"/>
  <c r="P504" i="13" s="1"/>
  <c r="O503" i="13"/>
  <c r="M503" i="13"/>
  <c r="O502" i="13"/>
  <c r="M502" i="13"/>
  <c r="O501" i="13"/>
  <c r="P501" i="13" s="1"/>
  <c r="M501" i="13"/>
  <c r="O500" i="13"/>
  <c r="P500" i="13" s="1"/>
  <c r="M500" i="13"/>
  <c r="O499" i="13"/>
  <c r="M499" i="13"/>
  <c r="P499" i="13" s="1"/>
  <c r="O498" i="13"/>
  <c r="M498" i="13"/>
  <c r="O497" i="13"/>
  <c r="P497" i="13" s="1"/>
  <c r="M497" i="13"/>
  <c r="O496" i="13"/>
  <c r="M496" i="13"/>
  <c r="O495" i="13"/>
  <c r="P495" i="13" s="1"/>
  <c r="M495" i="13"/>
  <c r="O494" i="13"/>
  <c r="M494" i="13"/>
  <c r="O493" i="13"/>
  <c r="M493" i="13"/>
  <c r="O492" i="13"/>
  <c r="M492" i="13"/>
  <c r="O491" i="13"/>
  <c r="M491" i="13"/>
  <c r="O490" i="13"/>
  <c r="P490" i="13" s="1"/>
  <c r="M490" i="13"/>
  <c r="O489" i="13"/>
  <c r="P489" i="13" s="1"/>
  <c r="M489" i="13"/>
  <c r="O488" i="13"/>
  <c r="M488" i="13"/>
  <c r="O487" i="13"/>
  <c r="M487" i="13"/>
  <c r="O486" i="13"/>
  <c r="M486" i="13"/>
  <c r="P486" i="13" s="1"/>
  <c r="O485" i="13"/>
  <c r="M485" i="13"/>
  <c r="O484" i="13"/>
  <c r="P484" i="13" s="1"/>
  <c r="M484" i="13"/>
  <c r="O483" i="13"/>
  <c r="M483" i="13"/>
  <c r="O482" i="13"/>
  <c r="P482" i="13" s="1"/>
  <c r="M482" i="13"/>
  <c r="O481" i="13"/>
  <c r="M481" i="13"/>
  <c r="O480" i="13"/>
  <c r="M480" i="13"/>
  <c r="O479" i="13"/>
  <c r="M479" i="13"/>
  <c r="O478" i="13"/>
  <c r="M478" i="13"/>
  <c r="P478" i="13"/>
  <c r="O477" i="13"/>
  <c r="P477" i="13" s="1"/>
  <c r="M477" i="13"/>
  <c r="O476" i="13"/>
  <c r="M476" i="13"/>
  <c r="O475" i="13"/>
  <c r="M475" i="13"/>
  <c r="O474" i="13"/>
  <c r="M474" i="13"/>
  <c r="O473" i="13"/>
  <c r="M473" i="13"/>
  <c r="P473" i="13" s="1"/>
  <c r="O472" i="13"/>
  <c r="M472" i="13"/>
  <c r="O471" i="13"/>
  <c r="M471" i="13"/>
  <c r="O470" i="13"/>
  <c r="M470" i="13"/>
  <c r="O469" i="13"/>
  <c r="P469" i="13"/>
  <c r="M469" i="13"/>
  <c r="O468" i="13"/>
  <c r="M468" i="13"/>
  <c r="O467" i="13"/>
  <c r="M467" i="13"/>
  <c r="O466" i="13"/>
  <c r="M466" i="13"/>
  <c r="O465" i="13"/>
  <c r="P465" i="13" s="1"/>
  <c r="M465" i="13"/>
  <c r="O464" i="13"/>
  <c r="M464" i="13"/>
  <c r="O463" i="13"/>
  <c r="M463" i="13"/>
  <c r="P463" i="13"/>
  <c r="O462" i="13"/>
  <c r="P462" i="13" s="1"/>
  <c r="M462" i="13"/>
  <c r="O461" i="13"/>
  <c r="P461" i="13" s="1"/>
  <c r="M461" i="13"/>
  <c r="O460" i="13"/>
  <c r="M460" i="13"/>
  <c r="O459" i="13"/>
  <c r="P459" i="13" s="1"/>
  <c r="M459" i="13"/>
  <c r="O458" i="13"/>
  <c r="P458" i="13" s="1"/>
  <c r="M458" i="13"/>
  <c r="O457" i="13"/>
  <c r="M457" i="13"/>
  <c r="O456" i="13"/>
  <c r="M456" i="13"/>
  <c r="O455" i="13"/>
  <c r="M455" i="13"/>
  <c r="O454" i="13"/>
  <c r="P454" i="13" s="1"/>
  <c r="M454" i="13"/>
  <c r="O453" i="13"/>
  <c r="M453" i="13"/>
  <c r="O452" i="13"/>
  <c r="M452" i="13"/>
  <c r="O451" i="13"/>
  <c r="P451" i="13"/>
  <c r="M451" i="13"/>
  <c r="D446" i="13"/>
  <c r="C446" i="13"/>
  <c r="C447" i="13"/>
  <c r="C448" i="13" s="1"/>
  <c r="C449" i="13" s="1"/>
  <c r="C450" i="13" s="1"/>
  <c r="C451" i="13" s="1"/>
  <c r="C452" i="13" s="1"/>
  <c r="C453" i="13" s="1"/>
  <c r="C454" i="13"/>
  <c r="C455" i="13" s="1"/>
  <c r="C456" i="13" s="1"/>
  <c r="C457" i="13" s="1"/>
  <c r="C458" i="13" s="1"/>
  <c r="C459" i="13" s="1"/>
  <c r="C460" i="13" s="1"/>
  <c r="C461" i="13" s="1"/>
  <c r="C462" i="13" s="1"/>
  <c r="C463" i="13"/>
  <c r="C464" i="13" s="1"/>
  <c r="C465" i="13" s="1"/>
  <c r="C466" i="13" s="1"/>
  <c r="C467" i="13" s="1"/>
  <c r="C468" i="13" s="1"/>
  <c r="C469" i="13" s="1"/>
  <c r="C470" i="13" s="1"/>
  <c r="C471" i="13" s="1"/>
  <c r="C472" i="13" s="1"/>
  <c r="C473" i="13" s="1"/>
  <c r="C474" i="13" s="1"/>
  <c r="C475" i="13" s="1"/>
  <c r="L441" i="13"/>
  <c r="L433" i="13"/>
  <c r="P427" i="13"/>
  <c r="O427" i="13"/>
  <c r="O419" i="13"/>
  <c r="M419" i="13"/>
  <c r="P419" i="13"/>
  <c r="O418" i="13"/>
  <c r="M418" i="13"/>
  <c r="O417" i="13"/>
  <c r="M417" i="13"/>
  <c r="P417" i="13" s="1"/>
  <c r="O416" i="13"/>
  <c r="M416" i="13"/>
  <c r="P416" i="13" s="1"/>
  <c r="O415" i="13"/>
  <c r="M415" i="13"/>
  <c r="O414" i="13"/>
  <c r="M414" i="13"/>
  <c r="P414" i="13" s="1"/>
  <c r="O413" i="13"/>
  <c r="M413" i="13"/>
  <c r="P413" i="13"/>
  <c r="O412" i="13"/>
  <c r="P412" i="13" s="1"/>
  <c r="M412" i="13"/>
  <c r="O411" i="13"/>
  <c r="M411" i="13"/>
  <c r="O410" i="13"/>
  <c r="M410" i="13"/>
  <c r="O409" i="13"/>
  <c r="P409" i="13" s="1"/>
  <c r="M409" i="13"/>
  <c r="O408" i="13"/>
  <c r="M408" i="13"/>
  <c r="P408" i="13" s="1"/>
  <c r="O407" i="13"/>
  <c r="M407" i="13"/>
  <c r="O406" i="13"/>
  <c r="M406" i="13"/>
  <c r="O405" i="13"/>
  <c r="P405" i="13" s="1"/>
  <c r="M405" i="13"/>
  <c r="O404" i="13"/>
  <c r="M404" i="13"/>
  <c r="O403" i="13"/>
  <c r="M403" i="13"/>
  <c r="O402" i="13"/>
  <c r="M402" i="13"/>
  <c r="O401" i="13"/>
  <c r="M401" i="13"/>
  <c r="O400" i="13"/>
  <c r="P400" i="13" s="1"/>
  <c r="M400" i="13"/>
  <c r="O399" i="13"/>
  <c r="M399" i="13"/>
  <c r="O398" i="13"/>
  <c r="M398" i="13"/>
  <c r="O397" i="13"/>
  <c r="P397" i="13" s="1"/>
  <c r="M397" i="13"/>
  <c r="O396" i="13"/>
  <c r="P396" i="13"/>
  <c r="M396" i="13"/>
  <c r="O395" i="13"/>
  <c r="M395" i="13"/>
  <c r="O394" i="13"/>
  <c r="M394" i="13"/>
  <c r="O393" i="13"/>
  <c r="M393" i="13"/>
  <c r="O392" i="13"/>
  <c r="P392" i="13" s="1"/>
  <c r="M392" i="13"/>
  <c r="O391" i="13"/>
  <c r="P391" i="13" s="1"/>
  <c r="M391" i="13"/>
  <c r="O390" i="13"/>
  <c r="M390" i="13"/>
  <c r="O389" i="13"/>
  <c r="M389" i="13"/>
  <c r="O388" i="13"/>
  <c r="P388" i="13"/>
  <c r="M388" i="13"/>
  <c r="O387" i="13"/>
  <c r="M387" i="13"/>
  <c r="P387" i="13"/>
  <c r="O386" i="13"/>
  <c r="P386" i="13" s="1"/>
  <c r="M386" i="13"/>
  <c r="O385" i="13"/>
  <c r="M385" i="13"/>
  <c r="O384" i="13"/>
  <c r="P384" i="13" s="1"/>
  <c r="M384" i="13"/>
  <c r="O383" i="13"/>
  <c r="M383" i="13"/>
  <c r="O382" i="13"/>
  <c r="M382" i="13"/>
  <c r="P382" i="13"/>
  <c r="O381" i="13"/>
  <c r="M381" i="13"/>
  <c r="O380" i="13"/>
  <c r="M380" i="13"/>
  <c r="O379" i="13"/>
  <c r="M379" i="13"/>
  <c r="P379" i="13"/>
  <c r="O378" i="13"/>
  <c r="P378" i="13" s="1"/>
  <c r="M378" i="13"/>
  <c r="O377" i="13"/>
  <c r="M377" i="13"/>
  <c r="O376" i="13"/>
  <c r="M376" i="13"/>
  <c r="O375" i="13"/>
  <c r="P375" i="13" s="1"/>
  <c r="M375" i="13"/>
  <c r="O374" i="13"/>
  <c r="P374" i="13"/>
  <c r="M374" i="13"/>
  <c r="O373" i="13"/>
  <c r="M373" i="13"/>
  <c r="O372" i="13"/>
  <c r="M372" i="13"/>
  <c r="O371" i="13"/>
  <c r="M371" i="13"/>
  <c r="P371" i="13" s="1"/>
  <c r="O370" i="13"/>
  <c r="M370" i="13"/>
  <c r="O369" i="13"/>
  <c r="M369" i="13"/>
  <c r="O368" i="13"/>
  <c r="M368" i="13"/>
  <c r="P368" i="13" s="1"/>
  <c r="O367" i="13"/>
  <c r="M367" i="13"/>
  <c r="P367" i="13" s="1"/>
  <c r="O366" i="13"/>
  <c r="P366" i="13" s="1"/>
  <c r="M366" i="13"/>
  <c r="O365" i="13"/>
  <c r="P365" i="13" s="1"/>
  <c r="M365" i="13"/>
  <c r="C363" i="13"/>
  <c r="C364" i="13"/>
  <c r="C365" i="13" s="1"/>
  <c r="C366" i="13" s="1"/>
  <c r="C367" i="13" s="1"/>
  <c r="C368" i="13" s="1"/>
  <c r="C369" i="13" s="1"/>
  <c r="C370" i="13" s="1"/>
  <c r="C371" i="13"/>
  <c r="C372" i="13"/>
  <c r="C373" i="13" s="1"/>
  <c r="C374" i="13" s="1"/>
  <c r="C375" i="13" s="1"/>
  <c r="C376" i="13" s="1"/>
  <c r="C377" i="13" s="1"/>
  <c r="C378" i="13" s="1"/>
  <c r="C379" i="13" s="1"/>
  <c r="C380" i="13" s="1"/>
  <c r="C381" i="13" s="1"/>
  <c r="C382" i="13" s="1"/>
  <c r="C383" i="13" s="1"/>
  <c r="C384" i="13" s="1"/>
  <c r="C385" i="13" s="1"/>
  <c r="C386" i="13" s="1"/>
  <c r="C387" i="13" s="1"/>
  <c r="C388" i="13" s="1"/>
  <c r="C389" i="13" s="1"/>
  <c r="N348" i="13" s="1"/>
  <c r="D360" i="13"/>
  <c r="C360" i="13"/>
  <c r="C361" i="13" s="1"/>
  <c r="C362" i="13" s="1"/>
  <c r="L355" i="13"/>
  <c r="L347" i="13"/>
  <c r="P341" i="13"/>
  <c r="O341" i="13"/>
  <c r="O333" i="13"/>
  <c r="M333" i="13"/>
  <c r="P333" i="13"/>
  <c r="O332" i="13"/>
  <c r="P332" i="13" s="1"/>
  <c r="M332" i="13"/>
  <c r="O331" i="13"/>
  <c r="P331" i="13" s="1"/>
  <c r="M331" i="13"/>
  <c r="O330" i="13"/>
  <c r="M330" i="13"/>
  <c r="O329" i="13"/>
  <c r="P329" i="13" s="1"/>
  <c r="M329" i="13"/>
  <c r="O328" i="13"/>
  <c r="M328" i="13"/>
  <c r="O327" i="13"/>
  <c r="P327" i="13" s="1"/>
  <c r="M327" i="13"/>
  <c r="O326" i="13"/>
  <c r="P326" i="13" s="1"/>
  <c r="M326" i="13"/>
  <c r="O325" i="13"/>
  <c r="M325" i="13"/>
  <c r="O324" i="13"/>
  <c r="M324" i="13"/>
  <c r="O323" i="13"/>
  <c r="M323" i="13"/>
  <c r="O322" i="13"/>
  <c r="M322" i="13"/>
  <c r="O321" i="13"/>
  <c r="M321" i="13"/>
  <c r="O320" i="13"/>
  <c r="M320" i="13"/>
  <c r="O319" i="13"/>
  <c r="P319" i="13" s="1"/>
  <c r="M319" i="13"/>
  <c r="O318" i="13"/>
  <c r="P318" i="13"/>
  <c r="M318" i="13"/>
  <c r="O317" i="13"/>
  <c r="M317" i="13"/>
  <c r="O316" i="13"/>
  <c r="M316" i="13"/>
  <c r="O315" i="13"/>
  <c r="P315" i="13"/>
  <c r="M315" i="13"/>
  <c r="O314" i="13"/>
  <c r="M314" i="13"/>
  <c r="O313" i="13"/>
  <c r="P313" i="13" s="1"/>
  <c r="M313" i="13"/>
  <c r="O312" i="13"/>
  <c r="M312" i="13"/>
  <c r="O311" i="13"/>
  <c r="P311" i="13" s="1"/>
  <c r="M311" i="13"/>
  <c r="O310" i="13"/>
  <c r="P310" i="13" s="1"/>
  <c r="M310" i="13"/>
  <c r="O309" i="13"/>
  <c r="P309" i="13"/>
  <c r="M309" i="13"/>
  <c r="O308" i="13"/>
  <c r="M308" i="13"/>
  <c r="O307" i="13"/>
  <c r="P307" i="13" s="1"/>
  <c r="M307" i="13"/>
  <c r="O306" i="13"/>
  <c r="M306" i="13"/>
  <c r="O305" i="13"/>
  <c r="M305" i="13"/>
  <c r="O304" i="13"/>
  <c r="M304" i="13"/>
  <c r="O303" i="13"/>
  <c r="P303" i="13" s="1"/>
  <c r="M303" i="13"/>
  <c r="O302" i="13"/>
  <c r="P302" i="13" s="1"/>
  <c r="M302" i="13"/>
  <c r="O301" i="13"/>
  <c r="M301" i="13"/>
  <c r="O300" i="13"/>
  <c r="M300" i="13"/>
  <c r="O299" i="13"/>
  <c r="M299" i="13"/>
  <c r="O298" i="13"/>
  <c r="P298" i="13" s="1"/>
  <c r="M298" i="13"/>
  <c r="O297" i="13"/>
  <c r="M297" i="13"/>
  <c r="O296" i="13"/>
  <c r="M296" i="13"/>
  <c r="O295" i="13"/>
  <c r="M295" i="13"/>
  <c r="O294" i="13"/>
  <c r="M294" i="13"/>
  <c r="P294" i="13"/>
  <c r="O293" i="13"/>
  <c r="M293" i="13"/>
  <c r="O292" i="13"/>
  <c r="P292" i="13"/>
  <c r="M292" i="13"/>
  <c r="O291" i="13"/>
  <c r="P291" i="13" s="1"/>
  <c r="M291" i="13"/>
  <c r="O290" i="13"/>
  <c r="P290" i="13" s="1"/>
  <c r="M290" i="13"/>
  <c r="O289" i="13"/>
  <c r="M289" i="13"/>
  <c r="O288" i="13"/>
  <c r="M288" i="13"/>
  <c r="O287" i="13"/>
  <c r="M287" i="13"/>
  <c r="O286" i="13"/>
  <c r="P286" i="13" s="1"/>
  <c r="M286" i="13"/>
  <c r="O285" i="13"/>
  <c r="P285" i="13" s="1"/>
  <c r="M285" i="13"/>
  <c r="O284" i="13"/>
  <c r="M284" i="13"/>
  <c r="O283" i="13"/>
  <c r="P283" i="13" s="1"/>
  <c r="M283" i="13"/>
  <c r="O282" i="13"/>
  <c r="M282" i="13"/>
  <c r="D274" i="13"/>
  <c r="C274" i="13"/>
  <c r="C275" i="13"/>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c r="C303" i="13" s="1"/>
  <c r="C304" i="13" s="1"/>
  <c r="C305" i="13" s="1"/>
  <c r="C306" i="13" s="1"/>
  <c r="L269" i="13"/>
  <c r="L261" i="13"/>
  <c r="P255" i="13"/>
  <c r="O255" i="13"/>
  <c r="O247" i="13"/>
  <c r="M247" i="13"/>
  <c r="P247" i="13"/>
  <c r="O246" i="13"/>
  <c r="M246" i="13"/>
  <c r="O245" i="13"/>
  <c r="M245" i="13"/>
  <c r="O244" i="13"/>
  <c r="M244" i="13"/>
  <c r="O243" i="13"/>
  <c r="M243" i="13"/>
  <c r="O242" i="13"/>
  <c r="P242" i="13" s="1"/>
  <c r="M242" i="13"/>
  <c r="O241" i="13"/>
  <c r="M241" i="13"/>
  <c r="O240" i="13"/>
  <c r="M240" i="13"/>
  <c r="O239" i="13"/>
  <c r="M239" i="13"/>
  <c r="O238" i="13"/>
  <c r="M238" i="13"/>
  <c r="O237" i="13"/>
  <c r="M237" i="13"/>
  <c r="O236" i="13"/>
  <c r="M236" i="13"/>
  <c r="P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P223" i="13"/>
  <c r="M223" i="13"/>
  <c r="O222" i="13"/>
  <c r="M222" i="13"/>
  <c r="O221" i="13"/>
  <c r="P221" i="13" s="1"/>
  <c r="M221" i="13"/>
  <c r="O220" i="13"/>
  <c r="P220" i="13"/>
  <c r="M220" i="13"/>
  <c r="O219" i="13"/>
  <c r="M219" i="13"/>
  <c r="O218" i="13"/>
  <c r="M218" i="13"/>
  <c r="O217" i="13"/>
  <c r="M217" i="13"/>
  <c r="O216" i="13"/>
  <c r="P216" i="13" s="1"/>
  <c r="M216" i="13"/>
  <c r="O215" i="13"/>
  <c r="P215" i="13"/>
  <c r="M215" i="13"/>
  <c r="O214" i="13"/>
  <c r="M214" i="13"/>
  <c r="P214" i="13"/>
  <c r="O213" i="13"/>
  <c r="M213" i="13"/>
  <c r="O212" i="13"/>
  <c r="P212" i="13"/>
  <c r="M212" i="13"/>
  <c r="O211" i="13"/>
  <c r="M211" i="13"/>
  <c r="P211" i="13" s="1"/>
  <c r="O210" i="13"/>
  <c r="M210" i="13"/>
  <c r="O209" i="13"/>
  <c r="M209" i="13"/>
  <c r="O208" i="13"/>
  <c r="P208" i="13" s="1"/>
  <c r="M208" i="13"/>
  <c r="O207" i="13"/>
  <c r="P207" i="13"/>
  <c r="M207" i="13"/>
  <c r="O206" i="13"/>
  <c r="M206" i="13"/>
  <c r="O205" i="13"/>
  <c r="M205" i="13"/>
  <c r="O204" i="13"/>
  <c r="M204" i="13"/>
  <c r="O203" i="13"/>
  <c r="P203" i="13" s="1"/>
  <c r="M203" i="13"/>
  <c r="O202" i="13"/>
  <c r="M202" i="13"/>
  <c r="O201" i="13"/>
  <c r="M201" i="13"/>
  <c r="P201" i="13"/>
  <c r="O200" i="13"/>
  <c r="P200" i="13" s="1"/>
  <c r="M200" i="13"/>
  <c r="O199" i="13"/>
  <c r="P199" i="13" s="1"/>
  <c r="M199" i="13"/>
  <c r="O188" i="13"/>
  <c r="P188" i="13"/>
  <c r="M188" i="13"/>
  <c r="D188" i="13"/>
  <c r="C188" i="13"/>
  <c r="C189" i="13"/>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L183" i="13"/>
  <c r="L175" i="13"/>
  <c r="P169" i="13"/>
  <c r="O169" i="13"/>
  <c r="D294" i="2"/>
  <c r="D350" i="2"/>
  <c r="A8" i="49"/>
  <c r="A8" i="47"/>
  <c r="A8" i="32"/>
  <c r="E18" i="5"/>
  <c r="D1171" i="20"/>
  <c r="C1171" i="20"/>
  <c r="C1172" i="20"/>
  <c r="C1173" i="20" s="1"/>
  <c r="C1174" i="20" s="1"/>
  <c r="C1175" i="20" s="1"/>
  <c r="C1176" i="20" s="1"/>
  <c r="C1177" i="20" s="1"/>
  <c r="C1178" i="20" s="1"/>
  <c r="C1179" i="20"/>
  <c r="C1180" i="20" s="1"/>
  <c r="C1181" i="20" s="1"/>
  <c r="C1182" i="20" s="1"/>
  <c r="C1183" i="20" s="1"/>
  <c r="C1184" i="20" s="1"/>
  <c r="C1185" i="20" s="1"/>
  <c r="C1186" i="20" s="1"/>
  <c r="C1187" i="20" s="1"/>
  <c r="C1188" i="20" s="1"/>
  <c r="C1189" i="20" s="1"/>
  <c r="C1190" i="20" s="1"/>
  <c r="C1191" i="20" s="1"/>
  <c r="C1192" i="20" s="1"/>
  <c r="C1193" i="20" s="1"/>
  <c r="C1194" i="20" s="1"/>
  <c r="C1195" i="20"/>
  <c r="C1196" i="20" s="1"/>
  <c r="C1197" i="20" s="1"/>
  <c r="C1198" i="20" s="1"/>
  <c r="C1199" i="20" s="1"/>
  <c r="C1200" i="20" s="1"/>
  <c r="C1201" i="20" s="1"/>
  <c r="C1202" i="20" s="1"/>
  <c r="C1203" i="20" s="1"/>
  <c r="C1204" i="20" s="1"/>
  <c r="C1205" i="20" s="1"/>
  <c r="C1206" i="20" s="1"/>
  <c r="C1207" i="20" s="1"/>
  <c r="K1166" i="20"/>
  <c r="I1165" i="20"/>
  <c r="O1152" i="20"/>
  <c r="N1152" i="20"/>
  <c r="D1082" i="20"/>
  <c r="C1082" i="20"/>
  <c r="C1083" i="20"/>
  <c r="C1084" i="20"/>
  <c r="C1085" i="20" s="1"/>
  <c r="C1086" i="20" s="1"/>
  <c r="C1087" i="20"/>
  <c r="C1088" i="20"/>
  <c r="C1089" i="20" s="1"/>
  <c r="C1090" i="20" s="1"/>
  <c r="C1091" i="20" s="1"/>
  <c r="C1092" i="20" s="1"/>
  <c r="C1093" i="20" s="1"/>
  <c r="C1094" i="20" s="1"/>
  <c r="C1095" i="20"/>
  <c r="C1096" i="20" s="1"/>
  <c r="C1097" i="20" s="1"/>
  <c r="C1098" i="20" s="1"/>
  <c r="C1099" i="20" s="1"/>
  <c r="C1100" i="20" s="1"/>
  <c r="C1101" i="20" s="1"/>
  <c r="C1102" i="20" s="1"/>
  <c r="C1103" i="20" s="1"/>
  <c r="C1104" i="20" s="1"/>
  <c r="C1105" i="20" s="1"/>
  <c r="C1106" i="20" s="1"/>
  <c r="C1107" i="20" s="1"/>
  <c r="C1108" i="20" s="1"/>
  <c r="C1109" i="20" s="1"/>
  <c r="C1110" i="20" s="1"/>
  <c r="C1111" i="20"/>
  <c r="C1112" i="20" s="1"/>
  <c r="C1113" i="20" s="1"/>
  <c r="C1114" i="20" s="1"/>
  <c r="C1115" i="20" s="1"/>
  <c r="C1116" i="20" s="1"/>
  <c r="K1077" i="20"/>
  <c r="I1076" i="20"/>
  <c r="O1063" i="20"/>
  <c r="N1063" i="20"/>
  <c r="D993" i="20"/>
  <c r="C993" i="20"/>
  <c r="C994" i="20" s="1"/>
  <c r="C995" i="20"/>
  <c r="C996" i="20"/>
  <c r="C997" i="20" s="1"/>
  <c r="C998" i="20" s="1"/>
  <c r="C999" i="20" s="1"/>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K988" i="20"/>
  <c r="I987" i="20"/>
  <c r="O974" i="20"/>
  <c r="N974" i="20"/>
  <c r="D904" i="20"/>
  <c r="C904" i="20"/>
  <c r="C905" i="20" s="1"/>
  <c r="C906" i="20" s="1"/>
  <c r="C907" i="20"/>
  <c r="C908" i="20"/>
  <c r="C909" i="20" s="1"/>
  <c r="C910" i="20" s="1"/>
  <c r="C911" i="20"/>
  <c r="C912" i="20" s="1"/>
  <c r="C913" i="20" s="1"/>
  <c r="C914" i="20" s="1"/>
  <c r="C915" i="20" s="1"/>
  <c r="C916" i="20"/>
  <c r="C917" i="20" s="1"/>
  <c r="C918" i="20" s="1"/>
  <c r="C919" i="20" s="1"/>
  <c r="C920" i="20" s="1"/>
  <c r="C921" i="20" s="1"/>
  <c r="C922" i="20" s="1"/>
  <c r="C923" i="20" s="1"/>
  <c r="C924" i="20" s="1"/>
  <c r="C925" i="20" s="1"/>
  <c r="C926" i="20" s="1"/>
  <c r="C927" i="20" s="1"/>
  <c r="C928" i="20" s="1"/>
  <c r="C929" i="20" s="1"/>
  <c r="C930" i="20" s="1"/>
  <c r="C931" i="20" s="1"/>
  <c r="C932" i="20"/>
  <c r="C933" i="20" s="1"/>
  <c r="K899" i="20"/>
  <c r="I898" i="20"/>
  <c r="O885" i="20"/>
  <c r="N885" i="20"/>
  <c r="D815" i="20"/>
  <c r="C815" i="20"/>
  <c r="C816" i="20"/>
  <c r="C817" i="20" s="1"/>
  <c r="C818" i="20" s="1"/>
  <c r="C819" i="20"/>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K810" i="20"/>
  <c r="I809" i="20"/>
  <c r="O796" i="20"/>
  <c r="N796" i="20"/>
  <c r="C737" i="20"/>
  <c r="C738" i="20" s="1"/>
  <c r="C739" i="20" s="1"/>
  <c r="C740" i="20" s="1"/>
  <c r="C741" i="20" s="1"/>
  <c r="C742" i="20" s="1"/>
  <c r="C743" i="20" s="1"/>
  <c r="C744" i="20" s="1"/>
  <c r="C745" i="20" s="1"/>
  <c r="C746" i="20" s="1"/>
  <c r="C747" i="20" s="1"/>
  <c r="C748" i="20" s="1"/>
  <c r="C749" i="20" s="1"/>
  <c r="C750" i="20" s="1"/>
  <c r="C751" i="20" s="1"/>
  <c r="C752" i="20" s="1"/>
  <c r="C753" i="20"/>
  <c r="C754" i="20" s="1"/>
  <c r="C755" i="20" s="1"/>
  <c r="C756" i="20" s="1"/>
  <c r="C757" i="20" s="1"/>
  <c r="C758" i="20" s="1"/>
  <c r="C759" i="20" s="1"/>
  <c r="D726" i="20"/>
  <c r="C726" i="20"/>
  <c r="C727" i="20" s="1"/>
  <c r="C728" i="20" s="1"/>
  <c r="C729" i="20" s="1"/>
  <c r="C730" i="20" s="1"/>
  <c r="C731" i="20" s="1"/>
  <c r="C732" i="20" s="1"/>
  <c r="C733" i="20" s="1"/>
  <c r="C734" i="20" s="1"/>
  <c r="C735" i="20" s="1"/>
  <c r="C736" i="20" s="1"/>
  <c r="K721" i="20"/>
  <c r="I720" i="20"/>
  <c r="O707" i="20"/>
  <c r="N707" i="20"/>
  <c r="C662" i="20"/>
  <c r="C663" i="20" s="1"/>
  <c r="C664" i="20" s="1"/>
  <c r="C665" i="20" s="1"/>
  <c r="C666" i="20" s="1"/>
  <c r="C667" i="20" s="1"/>
  <c r="C668" i="20" s="1"/>
  <c r="D637" i="20"/>
  <c r="C637" i="20"/>
  <c r="C638" i="20"/>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K632" i="20"/>
  <c r="I631" i="20"/>
  <c r="O618" i="20"/>
  <c r="N618" i="20"/>
  <c r="C566" i="20"/>
  <c r="C567" i="20" s="1"/>
  <c r="C568" i="20" s="1"/>
  <c r="C569" i="20" s="1"/>
  <c r="C570" i="20" s="1"/>
  <c r="C571" i="20" s="1"/>
  <c r="C572" i="20" s="1"/>
  <c r="C573" i="20" s="1"/>
  <c r="C574" i="20" s="1"/>
  <c r="C575" i="20" s="1"/>
  <c r="C576" i="20" s="1"/>
  <c r="C577" i="20" s="1"/>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K543" i="20"/>
  <c r="I542" i="20"/>
  <c r="O529" i="20"/>
  <c r="N529" i="20"/>
  <c r="C461" i="20"/>
  <c r="C462" i="20"/>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D459" i="20"/>
  <c r="C459" i="20"/>
  <c r="C460" i="20" s="1"/>
  <c r="K454" i="20"/>
  <c r="I453" i="20"/>
  <c r="O440" i="20"/>
  <c r="N440" i="20"/>
  <c r="D370" i="20"/>
  <c r="C370" i="20"/>
  <c r="C371" i="20"/>
  <c r="C372" i="20" s="1"/>
  <c r="C373" i="20" s="1"/>
  <c r="C374" i="20" s="1"/>
  <c r="C375" i="20" s="1"/>
  <c r="C376" i="20"/>
  <c r="C377" i="20" s="1"/>
  <c r="C378" i="20" s="1"/>
  <c r="C379" i="20"/>
  <c r="C380" i="20" s="1"/>
  <c r="C381" i="20" s="1"/>
  <c r="C382" i="20" s="1"/>
  <c r="C383" i="20" s="1"/>
  <c r="C384" i="20" s="1"/>
  <c r="C385" i="20" s="1"/>
  <c r="C386" i="20" s="1"/>
  <c r="C387" i="20" s="1"/>
  <c r="C388" i="20" s="1"/>
  <c r="C389" i="20" s="1"/>
  <c r="C390" i="20" s="1"/>
  <c r="C391" i="20" s="1"/>
  <c r="C392" i="20" s="1"/>
  <c r="C393" i="20" s="1"/>
  <c r="C394" i="20" s="1"/>
  <c r="C395" i="20"/>
  <c r="C396" i="20" s="1"/>
  <c r="C397" i="20" s="1"/>
  <c r="C398" i="20" s="1"/>
  <c r="C399" i="20" s="1"/>
  <c r="C400" i="20" s="1"/>
  <c r="C401" i="20" s="1"/>
  <c r="C402" i="20" s="1"/>
  <c r="C403" i="20" s="1"/>
  <c r="C404" i="20" s="1"/>
  <c r="C405" i="20" s="1"/>
  <c r="C406" i="20" s="1"/>
  <c r="K365" i="20"/>
  <c r="I364" i="20"/>
  <c r="O351" i="20"/>
  <c r="N351" i="20"/>
  <c r="D281" i="20"/>
  <c r="C281" i="20"/>
  <c r="C282" i="20"/>
  <c r="C283" i="20"/>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K276" i="20"/>
  <c r="I275" i="20"/>
  <c r="O262" i="20"/>
  <c r="N262" i="20"/>
  <c r="D192" i="20"/>
  <c r="C192" i="20"/>
  <c r="C193" i="20" s="1"/>
  <c r="C194" i="20" s="1"/>
  <c r="C195" i="20"/>
  <c r="C196" i="20"/>
  <c r="C197" i="20" s="1"/>
  <c r="C198" i="20" s="1"/>
  <c r="C199" i="20"/>
  <c r="C200" i="20" s="1"/>
  <c r="C201" i="20" s="1"/>
  <c r="C202" i="20" s="1"/>
  <c r="C203" i="20" s="1"/>
  <c r="C204" i="20" s="1"/>
  <c r="C205" i="20" s="1"/>
  <c r="C206" i="20" s="1"/>
  <c r="C207" i="20" s="1"/>
  <c r="C208" i="20" s="1"/>
  <c r="C209" i="20" s="1"/>
  <c r="C210" i="20" s="1"/>
  <c r="C211" i="20" s="1"/>
  <c r="C212" i="20" s="1"/>
  <c r="C213" i="20" s="1"/>
  <c r="C214" i="20" s="1"/>
  <c r="C215" i="20"/>
  <c r="C216" i="20" s="1"/>
  <c r="C217" i="20" s="1"/>
  <c r="C218" i="20" s="1"/>
  <c r="C219" i="20" s="1"/>
  <c r="C220" i="20" s="1"/>
  <c r="C221" i="20" s="1"/>
  <c r="K187" i="20"/>
  <c r="I186" i="20"/>
  <c r="O173" i="20"/>
  <c r="N173" i="20"/>
  <c r="D102" i="20"/>
  <c r="C102" i="20"/>
  <c r="C103" i="20"/>
  <c r="C104" i="20" s="1"/>
  <c r="C105" i="20" s="1"/>
  <c r="C106" i="20"/>
  <c r="C107" i="20" s="1"/>
  <c r="C108" i="20" s="1"/>
  <c r="C109" i="20" s="1"/>
  <c r="C110" i="20" s="1"/>
  <c r="C111" i="20" s="1"/>
  <c r="C112" i="20" s="1"/>
  <c r="C113" i="20" s="1"/>
  <c r="C114" i="20" s="1"/>
  <c r="C115" i="20"/>
  <c r="C116" i="20" s="1"/>
  <c r="C117" i="20" s="1"/>
  <c r="C118" i="20" s="1"/>
  <c r="C119" i="20" s="1"/>
  <c r="C120" i="20" s="1"/>
  <c r="C121" i="20" s="1"/>
  <c r="C122" i="20" s="1"/>
  <c r="C123" i="20" s="1"/>
  <c r="C124" i="20" s="1"/>
  <c r="C125" i="20" s="1"/>
  <c r="C126" i="20" s="1"/>
  <c r="C127" i="20" s="1"/>
  <c r="C128" i="20" s="1"/>
  <c r="C129" i="20" s="1"/>
  <c r="C130" i="20" s="1"/>
  <c r="C131" i="20" s="1"/>
  <c r="C132" i="20" s="1"/>
  <c r="K97" i="20"/>
  <c r="I96" i="20"/>
  <c r="O83" i="20"/>
  <c r="N83" i="20"/>
  <c r="B39" i="49"/>
  <c r="B40" i="49" s="1"/>
  <c r="B41" i="49"/>
  <c r="B42" i="49"/>
  <c r="B43" i="49" s="1"/>
  <c r="B44" i="49" s="1"/>
  <c r="B45" i="49"/>
  <c r="B46" i="49" s="1"/>
  <c r="B47" i="49" s="1"/>
  <c r="B48" i="49" s="1"/>
  <c r="B49" i="49" s="1"/>
  <c r="B50" i="49" s="1"/>
  <c r="B36" i="49"/>
  <c r="G22" i="49"/>
  <c r="G23" i="49"/>
  <c r="G24" i="49"/>
  <c r="G25" i="49" s="1"/>
  <c r="G26" i="49" s="1"/>
  <c r="G27" i="49" s="1"/>
  <c r="G28" i="49" s="1"/>
  <c r="G29" i="49" s="1"/>
  <c r="G30" i="49" s="1"/>
  <c r="G31" i="49" s="1"/>
  <c r="G32" i="49" s="1"/>
  <c r="B21" i="49"/>
  <c r="B22" i="49" s="1"/>
  <c r="B23" i="49" s="1"/>
  <c r="B24" i="49" s="1"/>
  <c r="B25" i="49" s="1"/>
  <c r="B26" i="49" s="1"/>
  <c r="B27" i="49" s="1"/>
  <c r="B28" i="49" s="1"/>
  <c r="B29" i="49" s="1"/>
  <c r="B30" i="49" s="1"/>
  <c r="B31" i="49" s="1"/>
  <c r="B32" i="49" s="1"/>
  <c r="F21" i="49"/>
  <c r="H10" i="49"/>
  <c r="F10" i="49"/>
  <c r="B10" i="49"/>
  <c r="B46" i="47"/>
  <c r="B47" i="47" s="1"/>
  <c r="B48" i="47" s="1"/>
  <c r="B49" i="47" s="1"/>
  <c r="B50" i="47" s="1"/>
  <c r="B39" i="47"/>
  <c r="B40" i="47" s="1"/>
  <c r="B41" i="47" s="1"/>
  <c r="B42" i="47" s="1"/>
  <c r="B43" i="47" s="1"/>
  <c r="B44" i="47" s="1"/>
  <c r="B45" i="47" s="1"/>
  <c r="B36" i="47"/>
  <c r="G22" i="47"/>
  <c r="G23" i="47"/>
  <c r="G24" i="47" s="1"/>
  <c r="G25" i="47" s="1"/>
  <c r="G26" i="47" s="1"/>
  <c r="G27" i="47" s="1"/>
  <c r="G28" i="47" s="1"/>
  <c r="G29" i="47" s="1"/>
  <c r="G30" i="47" s="1"/>
  <c r="G31" i="47" s="1"/>
  <c r="G32" i="47" s="1"/>
  <c r="B21" i="47"/>
  <c r="B22" i="47" s="1"/>
  <c r="B23" i="47"/>
  <c r="B24" i="47" s="1"/>
  <c r="B25" i="47" s="1"/>
  <c r="B26" i="47" s="1"/>
  <c r="B27" i="47" s="1"/>
  <c r="B28" i="47" s="1"/>
  <c r="B29" i="47" s="1"/>
  <c r="B30" i="47" s="1"/>
  <c r="B31" i="47" s="1"/>
  <c r="B32" i="47"/>
  <c r="F21" i="47"/>
  <c r="H10" i="47"/>
  <c r="F10" i="47"/>
  <c r="B10" i="47"/>
  <c r="B39" i="32"/>
  <c r="B40" i="32" s="1"/>
  <c r="B41" i="32"/>
  <c r="B42" i="32"/>
  <c r="B43" i="32" s="1"/>
  <c r="B44" i="32" s="1"/>
  <c r="B45" i="32"/>
  <c r="B46" i="32" s="1"/>
  <c r="B47" i="32" s="1"/>
  <c r="B48" i="32" s="1"/>
  <c r="B49" i="32" s="1"/>
  <c r="B50" i="32" s="1"/>
  <c r="B36" i="32"/>
  <c r="G22" i="32"/>
  <c r="G23" i="32"/>
  <c r="G24" i="32"/>
  <c r="G25" i="32" s="1"/>
  <c r="G26" i="32" s="1"/>
  <c r="G27" i="32" s="1"/>
  <c r="G28" i="32" s="1"/>
  <c r="G29" i="32" s="1"/>
  <c r="G30" i="32" s="1"/>
  <c r="G31" i="32" s="1"/>
  <c r="G32" i="32" s="1"/>
  <c r="F21" i="32"/>
  <c r="F22" i="32" s="1"/>
  <c r="B21" i="32"/>
  <c r="B22" i="32"/>
  <c r="B23" i="32" s="1"/>
  <c r="B24" i="32" s="1"/>
  <c r="B25" i="32"/>
  <c r="B26" i="32"/>
  <c r="B27" i="32" s="1"/>
  <c r="B28" i="32" s="1"/>
  <c r="B29" i="32" s="1"/>
  <c r="B30" i="32" s="1"/>
  <c r="B31" i="32" s="1"/>
  <c r="B32" i="32" s="1"/>
  <c r="H10" i="32"/>
  <c r="D21" i="32" s="1"/>
  <c r="F10" i="32"/>
  <c r="B10" i="32"/>
  <c r="M65" i="11"/>
  <c r="C61" i="11"/>
  <c r="M54" i="11"/>
  <c r="C50" i="11"/>
  <c r="F32" i="10"/>
  <c r="F28" i="10"/>
  <c r="F24" i="10"/>
  <c r="F19" i="10"/>
  <c r="F15" i="10"/>
  <c r="F11" i="10"/>
  <c r="K59" i="6"/>
  <c r="E59" i="6"/>
  <c r="K57" i="6"/>
  <c r="E57" i="6"/>
  <c r="E45" i="6"/>
  <c r="K54" i="6"/>
  <c r="E54" i="6" s="1"/>
  <c r="K43" i="6"/>
  <c r="E43" i="6" s="1"/>
  <c r="D63" i="6"/>
  <c r="D29" i="6" s="1"/>
  <c r="D23" i="35"/>
  <c r="G67" i="2" s="1"/>
  <c r="L67" i="2" s="1"/>
  <c r="G42" i="41"/>
  <c r="F42" i="41"/>
  <c r="E42" i="41"/>
  <c r="D42" i="41"/>
  <c r="C42" i="41"/>
  <c r="F23" i="41"/>
  <c r="L251" i="2" s="1"/>
  <c r="E23" i="41"/>
  <c r="L250" i="2"/>
  <c r="D23" i="41"/>
  <c r="L249" i="2" s="1"/>
  <c r="G256" i="2" s="1"/>
  <c r="J256" i="2" s="1"/>
  <c r="E22" i="13"/>
  <c r="C23" i="41"/>
  <c r="L248" i="2"/>
  <c r="F62" i="35"/>
  <c r="E62" i="35"/>
  <c r="L227" i="2" s="1"/>
  <c r="D62" i="35"/>
  <c r="C62" i="35"/>
  <c r="L228" i="2" s="1"/>
  <c r="K42" i="35"/>
  <c r="J42" i="35"/>
  <c r="G85" i="2" s="1"/>
  <c r="I42" i="35"/>
  <c r="G84" i="2"/>
  <c r="H42" i="35"/>
  <c r="G83" i="2" s="1"/>
  <c r="L83" i="2" s="1"/>
  <c r="G42" i="35"/>
  <c r="G82" i="2" s="1"/>
  <c r="F42" i="35"/>
  <c r="E42" i="35"/>
  <c r="G80" i="2"/>
  <c r="D42" i="35"/>
  <c r="G79" i="2"/>
  <c r="C42" i="35"/>
  <c r="G78" i="2" s="1"/>
  <c r="K23" i="35"/>
  <c r="J23" i="35"/>
  <c r="G73" i="2"/>
  <c r="I23" i="35"/>
  <c r="G72" i="2"/>
  <c r="H23" i="35"/>
  <c r="G23" i="35"/>
  <c r="G70" i="2"/>
  <c r="F23" i="35"/>
  <c r="E23" i="35"/>
  <c r="G68" i="2"/>
  <c r="C23" i="35"/>
  <c r="G66" i="2"/>
  <c r="G155" i="2"/>
  <c r="G154" i="2"/>
  <c r="G153" i="2"/>
  <c r="G159" i="2"/>
  <c r="F17" i="48"/>
  <c r="B14" i="48"/>
  <c r="A6" i="48"/>
  <c r="I47" i="48"/>
  <c r="C26" i="48"/>
  <c r="G26" i="48" s="1"/>
  <c r="I26" i="48" s="1"/>
  <c r="H47" i="48"/>
  <c r="C25" i="48"/>
  <c r="D47" i="48"/>
  <c r="C22" i="48"/>
  <c r="K45" i="48"/>
  <c r="G44" i="48"/>
  <c r="I43" i="48"/>
  <c r="H43" i="48"/>
  <c r="D43" i="48"/>
  <c r="K41" i="48"/>
  <c r="J47" i="48"/>
  <c r="C27" i="48"/>
  <c r="G47" i="48"/>
  <c r="C24" i="48"/>
  <c r="F47" i="48"/>
  <c r="C23" i="48"/>
  <c r="K37" i="48"/>
  <c r="E28" i="48"/>
  <c r="A23" i="48"/>
  <c r="A24" i="48" s="1"/>
  <c r="A25" i="48" s="1"/>
  <c r="A26" i="48" s="1"/>
  <c r="A27" i="48" s="1"/>
  <c r="B28" i="48" s="1"/>
  <c r="C28" i="48"/>
  <c r="E20" i="48"/>
  <c r="A4" i="48"/>
  <c r="G71" i="2"/>
  <c r="L71" i="2" s="1"/>
  <c r="C63" i="41"/>
  <c r="B48" i="41"/>
  <c r="M27" i="42"/>
  <c r="I27" i="42"/>
  <c r="E27" i="42"/>
  <c r="M26" i="42"/>
  <c r="I26" i="42"/>
  <c r="E26" i="42"/>
  <c r="M25" i="42"/>
  <c r="O25" i="42"/>
  <c r="I25" i="42"/>
  <c r="E25" i="42"/>
  <c r="M24" i="42"/>
  <c r="I24" i="42"/>
  <c r="E24" i="42"/>
  <c r="M23" i="42"/>
  <c r="I23" i="42"/>
  <c r="E23" i="42"/>
  <c r="M22" i="42"/>
  <c r="I22" i="42"/>
  <c r="E22" i="42"/>
  <c r="M21" i="42"/>
  <c r="I21" i="42"/>
  <c r="E21" i="42"/>
  <c r="M20" i="42"/>
  <c r="I20" i="42"/>
  <c r="E20" i="42"/>
  <c r="M19" i="42"/>
  <c r="I19" i="42"/>
  <c r="E19" i="42"/>
  <c r="I29" i="30"/>
  <c r="I33" i="30"/>
  <c r="I34" i="30"/>
  <c r="A6" i="11"/>
  <c r="A9" i="31"/>
  <c r="A4" i="41"/>
  <c r="A6" i="13"/>
  <c r="A6" i="20"/>
  <c r="A6" i="10"/>
  <c r="A6" i="9"/>
  <c r="A6" i="8"/>
  <c r="B36" i="8"/>
  <c r="A6" i="7"/>
  <c r="B26" i="7"/>
  <c r="A6" i="6"/>
  <c r="B1" i="39"/>
  <c r="B1" i="38"/>
  <c r="A6" i="5"/>
  <c r="A4" i="35"/>
  <c r="B3" i="39"/>
  <c r="Q10" i="39"/>
  <c r="Q10" i="38"/>
  <c r="M10" i="39"/>
  <c r="M10" i="38"/>
  <c r="F13" i="39"/>
  <c r="E13" i="39"/>
  <c r="E13" i="38"/>
  <c r="D13" i="39"/>
  <c r="D13" i="38"/>
  <c r="C13" i="39"/>
  <c r="C13" i="38"/>
  <c r="M115" i="39"/>
  <c r="D43" i="5"/>
  <c r="D42" i="5"/>
  <c r="D27" i="5"/>
  <c r="D19" i="5"/>
  <c r="F86" i="35"/>
  <c r="F85" i="35"/>
  <c r="F87" i="35"/>
  <c r="G110" i="2"/>
  <c r="S187" i="38"/>
  <c r="S193" i="38"/>
  <c r="R187" i="38"/>
  <c r="R193" i="38"/>
  <c r="Q187" i="38"/>
  <c r="Q193" i="38"/>
  <c r="O187" i="38"/>
  <c r="O193" i="38"/>
  <c r="N187" i="38"/>
  <c r="N193" i="38"/>
  <c r="M187" i="38"/>
  <c r="M193" i="38"/>
  <c r="S77" i="38"/>
  <c r="R77" i="38"/>
  <c r="Q77" i="38"/>
  <c r="O77" i="38"/>
  <c r="N77" i="38"/>
  <c r="M77" i="38"/>
  <c r="F13" i="38"/>
  <c r="B3" i="38"/>
  <c r="A78" i="38"/>
  <c r="D26" i="5"/>
  <c r="E78" i="38"/>
  <c r="F78" i="38"/>
  <c r="A190" i="38"/>
  <c r="A193" i="38"/>
  <c r="A18" i="39"/>
  <c r="A19" i="39"/>
  <c r="A20" i="39" s="1"/>
  <c r="A21" i="39" s="1"/>
  <c r="A22" i="39"/>
  <c r="A23" i="39" s="1"/>
  <c r="A24" i="39" s="1"/>
  <c r="A25" i="39" s="1"/>
  <c r="A26" i="39" s="1"/>
  <c r="A27" i="39" s="1"/>
  <c r="A28" i="39" s="1"/>
  <c r="A29" i="39" s="1"/>
  <c r="A30" i="39"/>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83" i="38"/>
  <c r="A84" i="38"/>
  <c r="A85" i="38" s="1"/>
  <c r="A86" i="38" s="1"/>
  <c r="A87" i="38"/>
  <c r="A88" i="38" s="1"/>
  <c r="A89" i="38" s="1"/>
  <c r="A90" i="38" s="1"/>
  <c r="A91" i="38" s="1"/>
  <c r="A92" i="38" s="1"/>
  <c r="A93" i="38" s="1"/>
  <c r="A94" i="38" s="1"/>
  <c r="A95" i="38"/>
  <c r="A96" i="38" s="1"/>
  <c r="A97" i="38" s="1"/>
  <c r="A98" i="38" s="1"/>
  <c r="A99" i="38" s="1"/>
  <c r="A100" i="38" s="1"/>
  <c r="A101" i="38" s="1"/>
  <c r="A102" i="38" s="1"/>
  <c r="A103" i="38"/>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A182" i="38" s="1"/>
  <c r="A183" i="38" s="1"/>
  <c r="A29" i="38"/>
  <c r="A30" i="38" s="1"/>
  <c r="A31" i="38"/>
  <c r="A32" i="38"/>
  <c r="A33" i="38" s="1"/>
  <c r="A34" i="38" s="1"/>
  <c r="A35" i="38" s="1"/>
  <c r="A36" i="38" s="1"/>
  <c r="A37" i="38" s="1"/>
  <c r="A38" i="38" s="1"/>
  <c r="A39" i="38" s="1"/>
  <c r="A40" i="38" s="1"/>
  <c r="A41" i="38" s="1"/>
  <c r="A42" i="38" s="1"/>
  <c r="A43" i="38" s="1"/>
  <c r="A44" i="38" s="1"/>
  <c r="A45" i="38" s="1"/>
  <c r="A46" i="38" s="1"/>
  <c r="A47" i="38" s="1"/>
  <c r="A48" i="38"/>
  <c r="A49" i="38" s="1"/>
  <c r="A50" i="38" s="1"/>
  <c r="A51" i="38" s="1"/>
  <c r="A52" i="38" s="1"/>
  <c r="A53" i="38"/>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I42" i="5"/>
  <c r="G112" i="39"/>
  <c r="G111" i="39"/>
  <c r="G110" i="39"/>
  <c r="G109" i="39"/>
  <c r="G108" i="39"/>
  <c r="D94" i="39"/>
  <c r="J94" i="39"/>
  <c r="I94" i="39"/>
  <c r="C94" i="39"/>
  <c r="C93" i="39"/>
  <c r="K93" i="39"/>
  <c r="J93" i="39"/>
  <c r="D92" i="39"/>
  <c r="K92" i="39"/>
  <c r="J91" i="39"/>
  <c r="I91" i="39"/>
  <c r="D90" i="39"/>
  <c r="J90" i="39"/>
  <c r="I90" i="39"/>
  <c r="I89" i="39"/>
  <c r="K89" i="39"/>
  <c r="J89" i="39"/>
  <c r="D89" i="39"/>
  <c r="C89" i="39"/>
  <c r="J88" i="39"/>
  <c r="D88" i="39"/>
  <c r="K88" i="39"/>
  <c r="K87" i="39"/>
  <c r="D87" i="39"/>
  <c r="C87" i="39"/>
  <c r="G87" i="39"/>
  <c r="I87" i="39"/>
  <c r="D86" i="39"/>
  <c r="J86" i="39"/>
  <c r="I86" i="39"/>
  <c r="C85" i="39"/>
  <c r="G85" i="39" s="1"/>
  <c r="J85" i="39"/>
  <c r="J84" i="39"/>
  <c r="K84" i="39"/>
  <c r="D84" i="39"/>
  <c r="K83" i="39"/>
  <c r="J83" i="39"/>
  <c r="I83" i="39"/>
  <c r="D82" i="39"/>
  <c r="J82" i="39"/>
  <c r="I82" i="39"/>
  <c r="I81" i="39"/>
  <c r="K81" i="39"/>
  <c r="J81" i="39"/>
  <c r="D81" i="39"/>
  <c r="C81" i="39"/>
  <c r="J80" i="39"/>
  <c r="J116" i="39" s="1"/>
  <c r="D80" i="39"/>
  <c r="D116" i="39" s="1"/>
  <c r="K80" i="39"/>
  <c r="K79" i="39"/>
  <c r="D79" i="39"/>
  <c r="C79" i="39"/>
  <c r="I79" i="39"/>
  <c r="D78" i="39"/>
  <c r="J78" i="39"/>
  <c r="I78" i="39"/>
  <c r="C78" i="39"/>
  <c r="C77" i="39"/>
  <c r="K77" i="39"/>
  <c r="J77" i="39"/>
  <c r="J76" i="39"/>
  <c r="K76" i="39"/>
  <c r="K75" i="39"/>
  <c r="J75" i="39"/>
  <c r="I75" i="39"/>
  <c r="D74" i="39"/>
  <c r="J74" i="39"/>
  <c r="I74" i="39"/>
  <c r="I73" i="39"/>
  <c r="K73" i="39"/>
  <c r="J73" i="39"/>
  <c r="D73" i="39"/>
  <c r="C73" i="39"/>
  <c r="G73" i="39" s="1"/>
  <c r="J72" i="39"/>
  <c r="D72" i="39"/>
  <c r="K72" i="39"/>
  <c r="K71" i="39"/>
  <c r="D71" i="39"/>
  <c r="C71" i="39"/>
  <c r="I71" i="39"/>
  <c r="D70" i="39"/>
  <c r="J70" i="39"/>
  <c r="I70" i="39"/>
  <c r="D69" i="39"/>
  <c r="C69" i="39"/>
  <c r="J69" i="39"/>
  <c r="J68" i="39"/>
  <c r="K68" i="39"/>
  <c r="D68" i="39"/>
  <c r="J67" i="39"/>
  <c r="I67" i="39"/>
  <c r="D66" i="39"/>
  <c r="J66" i="39"/>
  <c r="I66" i="39"/>
  <c r="I65" i="39"/>
  <c r="K65" i="39"/>
  <c r="J65" i="39"/>
  <c r="D65" i="39"/>
  <c r="C65" i="39"/>
  <c r="G65" i="39" s="1"/>
  <c r="D64" i="39"/>
  <c r="J64" i="39"/>
  <c r="K64" i="39"/>
  <c r="D63" i="39"/>
  <c r="K63" i="39"/>
  <c r="C63" i="39"/>
  <c r="G63" i="39" s="1"/>
  <c r="I63" i="39"/>
  <c r="D62" i="39"/>
  <c r="J62" i="39"/>
  <c r="I62" i="39"/>
  <c r="C62" i="39"/>
  <c r="D61" i="39"/>
  <c r="C61" i="39"/>
  <c r="G61" i="39"/>
  <c r="K61" i="39"/>
  <c r="J61" i="39"/>
  <c r="D60" i="39"/>
  <c r="K60" i="39"/>
  <c r="J59" i="39"/>
  <c r="I59" i="39"/>
  <c r="D58" i="39"/>
  <c r="J58" i="39"/>
  <c r="I58" i="39"/>
  <c r="I57" i="39"/>
  <c r="K57" i="39"/>
  <c r="J57" i="39"/>
  <c r="D57" i="39"/>
  <c r="C57" i="39"/>
  <c r="G57" i="39"/>
  <c r="D56" i="39"/>
  <c r="J56" i="39"/>
  <c r="K56" i="39"/>
  <c r="D55" i="39"/>
  <c r="K55" i="39"/>
  <c r="C55" i="39"/>
  <c r="I55" i="39"/>
  <c r="D54" i="39"/>
  <c r="C54" i="39"/>
  <c r="G54" i="39" s="1"/>
  <c r="I54" i="39"/>
  <c r="K53" i="39"/>
  <c r="I53" i="39"/>
  <c r="J53" i="39"/>
  <c r="D53" i="39"/>
  <c r="G53" i="39" s="1"/>
  <c r="K52" i="39"/>
  <c r="D52" i="39"/>
  <c r="C52" i="39"/>
  <c r="I52" i="39"/>
  <c r="D51" i="39"/>
  <c r="J51" i="39"/>
  <c r="I51" i="39"/>
  <c r="C51" i="39"/>
  <c r="G51" i="39" s="1"/>
  <c r="I50" i="39"/>
  <c r="C50" i="39"/>
  <c r="J50" i="39"/>
  <c r="J49" i="39"/>
  <c r="K49" i="39"/>
  <c r="K48" i="39"/>
  <c r="J48" i="39"/>
  <c r="I48" i="39"/>
  <c r="D47" i="39"/>
  <c r="K47" i="39"/>
  <c r="J47" i="39"/>
  <c r="I47" i="39"/>
  <c r="I46" i="39"/>
  <c r="K46" i="39"/>
  <c r="J46" i="39"/>
  <c r="D46" i="39"/>
  <c r="C46" i="39"/>
  <c r="J45" i="39"/>
  <c r="D45" i="39"/>
  <c r="K45" i="39"/>
  <c r="K44" i="39"/>
  <c r="D44" i="39"/>
  <c r="C44" i="39"/>
  <c r="G44" i="39" s="1"/>
  <c r="I44" i="39"/>
  <c r="D43" i="39"/>
  <c r="G43" i="39"/>
  <c r="J43" i="39"/>
  <c r="I43" i="39"/>
  <c r="C43" i="39"/>
  <c r="I42" i="39"/>
  <c r="C42" i="39"/>
  <c r="J42" i="39"/>
  <c r="J41" i="39"/>
  <c r="K41" i="39"/>
  <c r="K40" i="39"/>
  <c r="J40" i="39"/>
  <c r="I40" i="39"/>
  <c r="D39" i="39"/>
  <c r="K39" i="39"/>
  <c r="J39" i="39"/>
  <c r="I39" i="39"/>
  <c r="I38" i="39"/>
  <c r="K38" i="39"/>
  <c r="J38" i="39"/>
  <c r="D38" i="39"/>
  <c r="G38" i="39"/>
  <c r="C38" i="39"/>
  <c r="J37" i="39"/>
  <c r="D37" i="39"/>
  <c r="K37" i="39"/>
  <c r="K36" i="39"/>
  <c r="D36" i="39"/>
  <c r="C36" i="39"/>
  <c r="I36" i="39"/>
  <c r="D35" i="39"/>
  <c r="J35" i="39"/>
  <c r="I35" i="39"/>
  <c r="C35" i="39"/>
  <c r="I34" i="39"/>
  <c r="C34" i="39"/>
  <c r="J34" i="39"/>
  <c r="J33" i="39"/>
  <c r="K33" i="39"/>
  <c r="K32" i="39"/>
  <c r="J32" i="39"/>
  <c r="I32" i="39"/>
  <c r="D31" i="39"/>
  <c r="K31" i="39"/>
  <c r="J31" i="39"/>
  <c r="I31" i="39"/>
  <c r="I30" i="39"/>
  <c r="K30" i="39"/>
  <c r="J30" i="39"/>
  <c r="D30" i="39"/>
  <c r="G30" i="39" s="1"/>
  <c r="C30" i="39"/>
  <c r="J29" i="39"/>
  <c r="D29" i="39"/>
  <c r="K29" i="39"/>
  <c r="K28" i="39"/>
  <c r="D28" i="39"/>
  <c r="G28" i="39"/>
  <c r="C28" i="39"/>
  <c r="I28" i="39"/>
  <c r="D27" i="39"/>
  <c r="J27" i="39"/>
  <c r="I27" i="39"/>
  <c r="I26" i="39"/>
  <c r="J26" i="39"/>
  <c r="K26" i="39"/>
  <c r="C26" i="39"/>
  <c r="J25" i="39"/>
  <c r="D25" i="39"/>
  <c r="K25" i="39"/>
  <c r="C25" i="39"/>
  <c r="D24" i="39"/>
  <c r="C24" i="39"/>
  <c r="G24" i="39"/>
  <c r="K24" i="39"/>
  <c r="I24" i="39"/>
  <c r="C23" i="39"/>
  <c r="I23" i="39"/>
  <c r="K22" i="39"/>
  <c r="C22" i="39"/>
  <c r="I22" i="39"/>
  <c r="D22" i="39"/>
  <c r="G22" i="39" s="1"/>
  <c r="J21" i="39"/>
  <c r="K21" i="39"/>
  <c r="I21" i="39"/>
  <c r="D21" i="39"/>
  <c r="D20" i="39"/>
  <c r="G20" i="39"/>
  <c r="C20" i="39"/>
  <c r="K20" i="39"/>
  <c r="D19" i="39"/>
  <c r="K19" i="39"/>
  <c r="J19" i="39"/>
  <c r="I19" i="39"/>
  <c r="D18" i="39"/>
  <c r="K18" i="39"/>
  <c r="C18" i="39"/>
  <c r="I18" i="39"/>
  <c r="J17" i="39"/>
  <c r="S207" i="38"/>
  <c r="R207" i="38"/>
  <c r="E52" i="5" s="1"/>
  <c r="Q207" i="38"/>
  <c r="E49" i="5" s="1"/>
  <c r="O207" i="38"/>
  <c r="N207" i="38"/>
  <c r="G52" i="5" s="1"/>
  <c r="I52" i="5"/>
  <c r="L103" i="2" s="1"/>
  <c r="M207" i="38"/>
  <c r="G49" i="5" s="1"/>
  <c r="G51" i="5" s="1"/>
  <c r="F207" i="38"/>
  <c r="E207" i="38"/>
  <c r="K205" i="38"/>
  <c r="J205" i="38"/>
  <c r="I205" i="38"/>
  <c r="D205" i="38"/>
  <c r="G205" i="38" s="1"/>
  <c r="C205" i="38"/>
  <c r="K204" i="38"/>
  <c r="K207" i="38"/>
  <c r="J204" i="38"/>
  <c r="J207" i="38" s="1"/>
  <c r="I204" i="38"/>
  <c r="I207" i="38"/>
  <c r="D204" i="38"/>
  <c r="C204" i="38"/>
  <c r="C207" i="38" s="1"/>
  <c r="G191" i="38"/>
  <c r="K190" i="38"/>
  <c r="J190" i="38"/>
  <c r="I190" i="38"/>
  <c r="D190" i="38"/>
  <c r="G190" i="38" s="1"/>
  <c r="C190" i="38"/>
  <c r="G179" i="38"/>
  <c r="D172" i="38"/>
  <c r="J172" i="38"/>
  <c r="I172" i="38"/>
  <c r="J171" i="38"/>
  <c r="K171" i="38"/>
  <c r="D170" i="38"/>
  <c r="K170" i="38"/>
  <c r="J170" i="38"/>
  <c r="K169" i="38"/>
  <c r="D169" i="38"/>
  <c r="I168" i="38"/>
  <c r="J168" i="38"/>
  <c r="C168" i="38"/>
  <c r="K167" i="38"/>
  <c r="J167" i="38"/>
  <c r="C167" i="38"/>
  <c r="D166" i="38"/>
  <c r="K166" i="38"/>
  <c r="J166" i="38"/>
  <c r="K165" i="38"/>
  <c r="J165" i="38"/>
  <c r="I165" i="38"/>
  <c r="D164" i="38"/>
  <c r="K164" i="38"/>
  <c r="I163" i="38"/>
  <c r="J163" i="38"/>
  <c r="J162" i="38"/>
  <c r="K162" i="38"/>
  <c r="D162" i="38"/>
  <c r="C162" i="38"/>
  <c r="G162" i="38"/>
  <c r="D161" i="38"/>
  <c r="K161" i="38"/>
  <c r="I160" i="38"/>
  <c r="D159" i="38"/>
  <c r="I159" i="38"/>
  <c r="K158" i="38"/>
  <c r="J158" i="38"/>
  <c r="D158" i="38"/>
  <c r="K157" i="38"/>
  <c r="K156" i="38"/>
  <c r="I156" i="38"/>
  <c r="C155" i="38"/>
  <c r="G155" i="38" s="1"/>
  <c r="J155" i="38"/>
  <c r="D154" i="38"/>
  <c r="C154" i="38"/>
  <c r="J154" i="38"/>
  <c r="K153" i="38"/>
  <c r="J153" i="38"/>
  <c r="I153" i="38"/>
  <c r="D153" i="38"/>
  <c r="J152" i="38"/>
  <c r="I152" i="38"/>
  <c r="C152" i="38"/>
  <c r="C151" i="38"/>
  <c r="J151" i="38"/>
  <c r="C150" i="38"/>
  <c r="J150" i="38"/>
  <c r="D150" i="38"/>
  <c r="G150" i="38"/>
  <c r="K149" i="38"/>
  <c r="J149" i="38"/>
  <c r="J148" i="38"/>
  <c r="I148" i="38"/>
  <c r="J147" i="38"/>
  <c r="K147" i="38"/>
  <c r="C147" i="38"/>
  <c r="J146" i="38"/>
  <c r="I146" i="38"/>
  <c r="K146" i="38"/>
  <c r="D146" i="38"/>
  <c r="C146" i="38"/>
  <c r="D145" i="38"/>
  <c r="C145" i="38"/>
  <c r="K145" i="38"/>
  <c r="I144" i="38"/>
  <c r="K143" i="38"/>
  <c r="J143" i="38"/>
  <c r="I143" i="38"/>
  <c r="D143" i="38"/>
  <c r="J142" i="38"/>
  <c r="K142" i="38"/>
  <c r="D142" i="38"/>
  <c r="D141" i="38"/>
  <c r="J141" i="38"/>
  <c r="K141" i="38"/>
  <c r="D140" i="38"/>
  <c r="K140" i="38"/>
  <c r="K139" i="38"/>
  <c r="I139" i="38"/>
  <c r="D138" i="38"/>
  <c r="J138" i="38"/>
  <c r="K137" i="38"/>
  <c r="D137" i="38"/>
  <c r="C137" i="38"/>
  <c r="G137" i="38" s="1"/>
  <c r="I137" i="38"/>
  <c r="J136" i="38"/>
  <c r="I136" i="38"/>
  <c r="C136" i="38"/>
  <c r="K135" i="38"/>
  <c r="I135" i="38"/>
  <c r="J134" i="38"/>
  <c r="I134" i="38"/>
  <c r="K134" i="38"/>
  <c r="C134" i="38"/>
  <c r="C133" i="38"/>
  <c r="G133" i="38" s="1"/>
  <c r="K133" i="38"/>
  <c r="I133" i="38"/>
  <c r="D133" i="38"/>
  <c r="C132" i="38"/>
  <c r="J132" i="38"/>
  <c r="I132" i="38"/>
  <c r="K131" i="38"/>
  <c r="I131" i="38"/>
  <c r="K130" i="38"/>
  <c r="I130" i="38"/>
  <c r="D130" i="38"/>
  <c r="J129" i="38"/>
  <c r="K129" i="38"/>
  <c r="D128" i="38"/>
  <c r="K128" i="38"/>
  <c r="D127" i="38"/>
  <c r="J127" i="38"/>
  <c r="I127" i="38"/>
  <c r="C126" i="38"/>
  <c r="I126" i="38"/>
  <c r="D125" i="38"/>
  <c r="J125" i="38"/>
  <c r="K124" i="38"/>
  <c r="J124" i="38"/>
  <c r="D124" i="38"/>
  <c r="D123" i="38"/>
  <c r="I123" i="38"/>
  <c r="J123" i="38"/>
  <c r="C123" i="38"/>
  <c r="G123" i="38"/>
  <c r="C122" i="38"/>
  <c r="K122" i="38"/>
  <c r="J122" i="38"/>
  <c r="D121" i="38"/>
  <c r="K121" i="38"/>
  <c r="J121" i="38"/>
  <c r="C121" i="38"/>
  <c r="G121" i="38"/>
  <c r="K120" i="38"/>
  <c r="D120" i="38"/>
  <c r="J120" i="38"/>
  <c r="I120" i="38"/>
  <c r="J119" i="38"/>
  <c r="I119" i="38"/>
  <c r="C119" i="38"/>
  <c r="I118" i="38"/>
  <c r="J118" i="38"/>
  <c r="K118" i="38"/>
  <c r="D118" i="38"/>
  <c r="C118" i="38"/>
  <c r="J117" i="38"/>
  <c r="D117" i="38"/>
  <c r="C117" i="38"/>
  <c r="G117" i="38"/>
  <c r="K117" i="38"/>
  <c r="D116" i="38"/>
  <c r="C116" i="38"/>
  <c r="K116" i="38"/>
  <c r="I115" i="38"/>
  <c r="D114" i="38"/>
  <c r="I114" i="38"/>
  <c r="J113" i="38"/>
  <c r="J194" i="38" s="1"/>
  <c r="K113" i="38"/>
  <c r="K194" i="38" s="1"/>
  <c r="D113" i="38"/>
  <c r="K112" i="38"/>
  <c r="D112" i="38"/>
  <c r="D111" i="38"/>
  <c r="J111" i="38"/>
  <c r="I111" i="38"/>
  <c r="D110" i="38"/>
  <c r="K110" i="38"/>
  <c r="J110" i="38"/>
  <c r="I110" i="38"/>
  <c r="D109" i="38"/>
  <c r="J109" i="38"/>
  <c r="K108" i="38"/>
  <c r="D108" i="38"/>
  <c r="D107" i="38"/>
  <c r="I107" i="38"/>
  <c r="K106" i="38"/>
  <c r="J106" i="38"/>
  <c r="C106" i="38"/>
  <c r="D105" i="38"/>
  <c r="C105" i="38"/>
  <c r="G105" i="38"/>
  <c r="K105" i="38"/>
  <c r="J105" i="38"/>
  <c r="K104" i="38"/>
  <c r="J104" i="38"/>
  <c r="I104" i="38"/>
  <c r="D103" i="38"/>
  <c r="I103" i="38"/>
  <c r="I102" i="38"/>
  <c r="J102" i="38"/>
  <c r="K102" i="38"/>
  <c r="C102" i="38"/>
  <c r="J101" i="38"/>
  <c r="I101" i="38"/>
  <c r="K101" i="38"/>
  <c r="D101" i="38"/>
  <c r="C101" i="38"/>
  <c r="D100" i="38"/>
  <c r="C100" i="38"/>
  <c r="K100" i="38"/>
  <c r="I100" i="38"/>
  <c r="K99" i="38"/>
  <c r="I99" i="38"/>
  <c r="K98" i="38"/>
  <c r="I98" i="38"/>
  <c r="D98" i="38"/>
  <c r="J97" i="38"/>
  <c r="K97" i="38"/>
  <c r="D96" i="38"/>
  <c r="K96" i="38"/>
  <c r="D95" i="38"/>
  <c r="J95" i="38"/>
  <c r="I95" i="38"/>
  <c r="C94" i="38"/>
  <c r="G94" i="38" s="1"/>
  <c r="I94" i="38"/>
  <c r="D93" i="38"/>
  <c r="J93" i="38"/>
  <c r="K92" i="38"/>
  <c r="J92" i="38"/>
  <c r="D92" i="38"/>
  <c r="D91" i="38"/>
  <c r="G91" i="38" s="1"/>
  <c r="I91" i="38"/>
  <c r="J91" i="38"/>
  <c r="C91" i="38"/>
  <c r="C90" i="38"/>
  <c r="K90" i="38"/>
  <c r="J90" i="38"/>
  <c r="D89" i="38"/>
  <c r="K89" i="38"/>
  <c r="J89" i="38"/>
  <c r="C89" i="38"/>
  <c r="G89" i="38"/>
  <c r="K88" i="38"/>
  <c r="D88" i="38"/>
  <c r="J88" i="38"/>
  <c r="I88" i="38"/>
  <c r="J87" i="38"/>
  <c r="I87" i="38"/>
  <c r="C87" i="38"/>
  <c r="I86" i="38"/>
  <c r="J86" i="38"/>
  <c r="K86" i="38"/>
  <c r="D86" i="38"/>
  <c r="C86" i="38"/>
  <c r="G86" i="38" s="1"/>
  <c r="J85" i="38"/>
  <c r="D85" i="38"/>
  <c r="K85" i="38"/>
  <c r="D84" i="38"/>
  <c r="C84" i="38"/>
  <c r="G84" i="38" s="1"/>
  <c r="K84" i="38"/>
  <c r="I83" i="38"/>
  <c r="I82" i="38"/>
  <c r="J65" i="38"/>
  <c r="K65" i="38"/>
  <c r="D65" i="38"/>
  <c r="G65" i="38" s="1"/>
  <c r="K64" i="38"/>
  <c r="D64" i="38"/>
  <c r="D63" i="38"/>
  <c r="J63" i="38"/>
  <c r="I63" i="38"/>
  <c r="D62" i="38"/>
  <c r="K62" i="38"/>
  <c r="J62" i="38"/>
  <c r="I62" i="38"/>
  <c r="D61" i="38"/>
  <c r="J61" i="38"/>
  <c r="K60" i="38"/>
  <c r="D60" i="38"/>
  <c r="D59" i="38"/>
  <c r="I59" i="38"/>
  <c r="K58" i="38"/>
  <c r="J58" i="38"/>
  <c r="C58" i="38"/>
  <c r="D57" i="38"/>
  <c r="K57" i="38"/>
  <c r="J57" i="38"/>
  <c r="C57" i="38"/>
  <c r="G57" i="38"/>
  <c r="J56" i="38"/>
  <c r="K56" i="38"/>
  <c r="D56" i="38"/>
  <c r="K55" i="38"/>
  <c r="J55" i="38"/>
  <c r="I55" i="38"/>
  <c r="D54" i="38"/>
  <c r="K54" i="38"/>
  <c r="J54" i="38"/>
  <c r="I54" i="38"/>
  <c r="C53" i="38"/>
  <c r="I53" i="38"/>
  <c r="J53" i="38"/>
  <c r="D53" i="38"/>
  <c r="D52" i="38"/>
  <c r="K52" i="38"/>
  <c r="D51" i="38"/>
  <c r="C51" i="38"/>
  <c r="D50" i="38"/>
  <c r="C50" i="38"/>
  <c r="I50" i="38"/>
  <c r="D49" i="38"/>
  <c r="K49" i="38"/>
  <c r="J49" i="38"/>
  <c r="C49" i="38"/>
  <c r="J48" i="38"/>
  <c r="K48" i="38"/>
  <c r="D48" i="38"/>
  <c r="K47" i="38"/>
  <c r="J47" i="38"/>
  <c r="I47" i="38"/>
  <c r="D46" i="38"/>
  <c r="K46" i="38"/>
  <c r="J46" i="38"/>
  <c r="I46" i="38"/>
  <c r="C45" i="38"/>
  <c r="I45" i="38"/>
  <c r="J45" i="38"/>
  <c r="D45" i="38"/>
  <c r="D44" i="38"/>
  <c r="K44" i="38"/>
  <c r="D43" i="38"/>
  <c r="C43" i="38"/>
  <c r="D42" i="38"/>
  <c r="C42" i="38"/>
  <c r="I42" i="38"/>
  <c r="D41" i="38"/>
  <c r="K41" i="38"/>
  <c r="J41" i="38"/>
  <c r="C41" i="38"/>
  <c r="J40" i="38"/>
  <c r="K40" i="38"/>
  <c r="D40" i="38"/>
  <c r="K39" i="38"/>
  <c r="J39" i="38"/>
  <c r="I39" i="38"/>
  <c r="D38" i="38"/>
  <c r="K38" i="38"/>
  <c r="J38" i="38"/>
  <c r="I38" i="38"/>
  <c r="C37" i="38"/>
  <c r="I37" i="38"/>
  <c r="J37" i="38"/>
  <c r="D37" i="38"/>
  <c r="G37" i="38" s="1"/>
  <c r="D36" i="38"/>
  <c r="K36"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G21" i="38"/>
  <c r="E23" i="38"/>
  <c r="K17" i="38"/>
  <c r="K23" i="38"/>
  <c r="J17" i="38"/>
  <c r="J23" i="38"/>
  <c r="I17" i="38"/>
  <c r="I23" i="38"/>
  <c r="D17" i="38"/>
  <c r="D23" i="38"/>
  <c r="C17" i="38"/>
  <c r="C23" i="38"/>
  <c r="A24" i="38"/>
  <c r="D18" i="5"/>
  <c r="Q27" i="21"/>
  <c r="Q22" i="21"/>
  <c r="Q17" i="21"/>
  <c r="A2" i="41"/>
  <c r="A11" i="41"/>
  <c r="A12" i="41" s="1"/>
  <c r="A13" i="41" s="1"/>
  <c r="A14" i="41" s="1"/>
  <c r="A15" i="41"/>
  <c r="A16" i="41" s="1"/>
  <c r="A17" i="41" s="1"/>
  <c r="A18" i="41" s="1"/>
  <c r="A19" i="41" s="1"/>
  <c r="A20" i="41"/>
  <c r="A21" i="41" s="1"/>
  <c r="A22" i="41" s="1"/>
  <c r="A23" i="41" s="1"/>
  <c r="G12" i="41"/>
  <c r="G13" i="41"/>
  <c r="G16" i="41"/>
  <c r="G17" i="41"/>
  <c r="G18" i="41"/>
  <c r="G21" i="41"/>
  <c r="G22" i="41"/>
  <c r="H29" i="41"/>
  <c r="H31" i="41"/>
  <c r="H33" i="41"/>
  <c r="H35" i="41"/>
  <c r="H37" i="41"/>
  <c r="H39" i="41"/>
  <c r="H41" i="41"/>
  <c r="E64" i="41"/>
  <c r="E65" i="41"/>
  <c r="E66" i="41"/>
  <c r="E67" i="41"/>
  <c r="E68" i="41"/>
  <c r="E69" i="41"/>
  <c r="E70" i="41"/>
  <c r="E71" i="41"/>
  <c r="E72" i="41"/>
  <c r="F73" i="41"/>
  <c r="C74" i="41"/>
  <c r="E50" i="41" s="1"/>
  <c r="D74" i="41"/>
  <c r="B85" i="41"/>
  <c r="B86" i="41"/>
  <c r="B87" i="41"/>
  <c r="C88" i="41"/>
  <c r="D88" i="41"/>
  <c r="D89" i="41"/>
  <c r="D104" i="41" s="1"/>
  <c r="B91" i="41"/>
  <c r="B92" i="41"/>
  <c r="B93" i="41"/>
  <c r="C94" i="41"/>
  <c r="D94" i="41"/>
  <c r="B97" i="41"/>
  <c r="B98" i="41"/>
  <c r="B99" i="41"/>
  <c r="C100" i="41"/>
  <c r="C101" i="41" s="1"/>
  <c r="D100" i="41"/>
  <c r="D101" i="41" s="1"/>
  <c r="E101" i="41" s="1"/>
  <c r="G20" i="41"/>
  <c r="H40" i="41"/>
  <c r="H38" i="41"/>
  <c r="H36" i="41"/>
  <c r="H34" i="41"/>
  <c r="H32" i="41"/>
  <c r="H30" i="41"/>
  <c r="G14" i="41"/>
  <c r="G19" i="41"/>
  <c r="G15" i="41"/>
  <c r="G11" i="41"/>
  <c r="E110" i="2"/>
  <c r="E87" i="35"/>
  <c r="D87" i="35"/>
  <c r="E67" i="35"/>
  <c r="F67" i="35"/>
  <c r="D67" i="35"/>
  <c r="A69" i="35"/>
  <c r="A71" i="35"/>
  <c r="A75" i="35" s="1"/>
  <c r="A76" i="35" s="1"/>
  <c r="A77" i="35" s="1"/>
  <c r="A78" i="35" s="1"/>
  <c r="A79" i="35"/>
  <c r="A80" i="35" s="1"/>
  <c r="E80" i="35"/>
  <c r="D80" i="35"/>
  <c r="F79" i="35"/>
  <c r="F78" i="35"/>
  <c r="F77" i="35"/>
  <c r="F76" i="35"/>
  <c r="F75" i="35"/>
  <c r="F71" i="35"/>
  <c r="L106" i="2"/>
  <c r="F69" i="35"/>
  <c r="G106" i="2"/>
  <c r="L78" i="2"/>
  <c r="A11" i="35"/>
  <c r="A12" i="35" s="1"/>
  <c r="A13" i="35" s="1"/>
  <c r="A14" i="35" s="1"/>
  <c r="A15" i="35"/>
  <c r="A16" i="35" s="1"/>
  <c r="A17" i="35" s="1"/>
  <c r="A18" i="35" s="1"/>
  <c r="A19" i="35" s="1"/>
  <c r="A20" i="35" s="1"/>
  <c r="A21" i="35" s="1"/>
  <c r="A22" i="35" s="1"/>
  <c r="A23" i="35" s="1"/>
  <c r="A2" i="35"/>
  <c r="I55" i="30"/>
  <c r="I54" i="30"/>
  <c r="I51" i="30"/>
  <c r="I50" i="30"/>
  <c r="I49" i="30"/>
  <c r="I44" i="30"/>
  <c r="I43" i="30"/>
  <c r="I42" i="30"/>
  <c r="I41" i="30"/>
  <c r="I40" i="30"/>
  <c r="I38" i="30"/>
  <c r="B21" i="7"/>
  <c r="K27" i="8"/>
  <c r="K31" i="8"/>
  <c r="G15" i="2" s="1"/>
  <c r="L15" i="2" s="1"/>
  <c r="I27" i="8"/>
  <c r="I31" i="8"/>
  <c r="B11" i="7"/>
  <c r="E65" i="30"/>
  <c r="E27" i="11" s="1"/>
  <c r="I27" i="11"/>
  <c r="O83" i="13"/>
  <c r="P83" i="13"/>
  <c r="J21" i="8"/>
  <c r="J19" i="8"/>
  <c r="J17" i="8"/>
  <c r="J15" i="8"/>
  <c r="J13" i="8"/>
  <c r="Q28" i="31"/>
  <c r="M28" i="31"/>
  <c r="I28" i="31"/>
  <c r="E28" i="31"/>
  <c r="Q27" i="31"/>
  <c r="S27" i="31" s="1"/>
  <c r="M27" i="31"/>
  <c r="I27" i="31"/>
  <c r="E27" i="31"/>
  <c r="Q26" i="31"/>
  <c r="M26" i="31"/>
  <c r="I26" i="31"/>
  <c r="E26" i="31"/>
  <c r="Q25" i="31"/>
  <c r="M25" i="31"/>
  <c r="I25" i="31"/>
  <c r="E25" i="31"/>
  <c r="Q24" i="31"/>
  <c r="M24" i="31"/>
  <c r="I24" i="31"/>
  <c r="E24" i="31"/>
  <c r="Q23" i="31"/>
  <c r="M23" i="31"/>
  <c r="I23" i="31"/>
  <c r="E23" i="31"/>
  <c r="Q22" i="31"/>
  <c r="M22" i="31"/>
  <c r="I22" i="31"/>
  <c r="E22" i="31"/>
  <c r="I21" i="31"/>
  <c r="S21" i="31" s="1"/>
  <c r="E20" i="31"/>
  <c r="S20" i="31"/>
  <c r="L89" i="13"/>
  <c r="L97" i="13"/>
  <c r="C102" i="13"/>
  <c r="C103" i="13"/>
  <c r="C104" i="13"/>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D102" i="13"/>
  <c r="M102" i="13"/>
  <c r="O102" i="13"/>
  <c r="M113" i="13"/>
  <c r="O113" i="13"/>
  <c r="P113" i="13" s="1"/>
  <c r="M114" i="13"/>
  <c r="O114" i="13"/>
  <c r="P114" i="13"/>
  <c r="M115" i="13"/>
  <c r="O115" i="13"/>
  <c r="M116" i="13"/>
  <c r="O116" i="13"/>
  <c r="P116" i="13" s="1"/>
  <c r="M117" i="13"/>
  <c r="O117" i="13"/>
  <c r="M118" i="13"/>
  <c r="O118" i="13"/>
  <c r="P118" i="13" s="1"/>
  <c r="M119" i="13"/>
  <c r="P119" i="13"/>
  <c r="O119" i="13"/>
  <c r="M120" i="13"/>
  <c r="O120" i="13"/>
  <c r="M121" i="13"/>
  <c r="O121" i="13"/>
  <c r="M122" i="13"/>
  <c r="O122" i="13"/>
  <c r="P122" i="13" s="1"/>
  <c r="M123" i="13"/>
  <c r="O123" i="13"/>
  <c r="P123" i="13"/>
  <c r="M124" i="13"/>
  <c r="O124" i="13"/>
  <c r="M125" i="13"/>
  <c r="O125" i="13"/>
  <c r="M126" i="13"/>
  <c r="O126" i="13"/>
  <c r="P126" i="13"/>
  <c r="M127" i="13"/>
  <c r="O127" i="13"/>
  <c r="P127" i="13" s="1"/>
  <c r="M128" i="13"/>
  <c r="O128" i="13"/>
  <c r="P128" i="13" s="1"/>
  <c r="M129" i="13"/>
  <c r="O129" i="13"/>
  <c r="M130" i="13"/>
  <c r="O130" i="13"/>
  <c r="M131" i="13"/>
  <c r="O131" i="13"/>
  <c r="P131" i="13" s="1"/>
  <c r="M132" i="13"/>
  <c r="O132" i="13"/>
  <c r="M133" i="13"/>
  <c r="O133" i="13"/>
  <c r="P133" i="13" s="1"/>
  <c r="M134" i="13"/>
  <c r="O134" i="13"/>
  <c r="M135" i="13"/>
  <c r="O135" i="13"/>
  <c r="P135" i="13" s="1"/>
  <c r="M136" i="13"/>
  <c r="O136" i="13"/>
  <c r="M137" i="13"/>
  <c r="O137" i="13"/>
  <c r="M138" i="13"/>
  <c r="O138" i="13"/>
  <c r="P138" i="13" s="1"/>
  <c r="M139" i="13"/>
  <c r="O139" i="13"/>
  <c r="M140" i="13"/>
  <c r="O140" i="13"/>
  <c r="M141" i="13"/>
  <c r="P141" i="13" s="1"/>
  <c r="O141" i="13"/>
  <c r="M142" i="13"/>
  <c r="O142" i="13"/>
  <c r="M143" i="13"/>
  <c r="O143" i="13"/>
  <c r="P143" i="13" s="1"/>
  <c r="M144" i="13"/>
  <c r="O144" i="13"/>
  <c r="M145" i="13"/>
  <c r="O145" i="13"/>
  <c r="M146" i="13"/>
  <c r="O146" i="13"/>
  <c r="M147" i="13"/>
  <c r="O147" i="13"/>
  <c r="M148" i="13"/>
  <c r="O148" i="13"/>
  <c r="P148" i="13" s="1"/>
  <c r="M149" i="13"/>
  <c r="P149" i="13" s="1"/>
  <c r="O149" i="13"/>
  <c r="M150" i="13"/>
  <c r="O150" i="13"/>
  <c r="M151" i="13"/>
  <c r="O151" i="13"/>
  <c r="P151" i="13"/>
  <c r="M152" i="13"/>
  <c r="P152" i="13" s="1"/>
  <c r="O152" i="13"/>
  <c r="M153" i="13"/>
  <c r="O153" i="13"/>
  <c r="M154" i="13"/>
  <c r="O154" i="13"/>
  <c r="M155" i="13"/>
  <c r="O155" i="13"/>
  <c r="P155" i="13" s="1"/>
  <c r="M156" i="13"/>
  <c r="O156" i="13"/>
  <c r="P156" i="13" s="1"/>
  <c r="M157" i="13"/>
  <c r="O157" i="13"/>
  <c r="P157" i="13" s="1"/>
  <c r="M158" i="13"/>
  <c r="O158" i="13"/>
  <c r="M159" i="13"/>
  <c r="O159" i="13"/>
  <c r="P159" i="13"/>
  <c r="M160" i="13"/>
  <c r="O160" i="13"/>
  <c r="M161" i="13"/>
  <c r="P161" i="13"/>
  <c r="O161" i="13"/>
  <c r="A6" i="30"/>
  <c r="E111" i="30"/>
  <c r="E40" i="11"/>
  <c r="E102" i="30"/>
  <c r="E38" i="11" s="1"/>
  <c r="K38" i="11" s="1"/>
  <c r="E85" i="30"/>
  <c r="E36" i="11" s="1"/>
  <c r="K36" i="11" s="1"/>
  <c r="E77" i="30"/>
  <c r="E34" i="11"/>
  <c r="M34" i="11" s="1"/>
  <c r="E67" i="30"/>
  <c r="E28" i="11"/>
  <c r="I28" i="11"/>
  <c r="E52" i="30"/>
  <c r="E23" i="11" s="1"/>
  <c r="G23" i="11" s="1"/>
  <c r="M82" i="11" s="1"/>
  <c r="D61" i="9"/>
  <c r="D21" i="9"/>
  <c r="G148" i="2" s="1"/>
  <c r="K51" i="6"/>
  <c r="E51" i="6"/>
  <c r="K50" i="6"/>
  <c r="E50" i="6" s="1"/>
  <c r="L26" i="20"/>
  <c r="A4" i="21"/>
  <c r="A4" i="30"/>
  <c r="A4" i="11"/>
  <c r="A4" i="10"/>
  <c r="A4" i="9"/>
  <c r="A4" i="8"/>
  <c r="A4" i="7"/>
  <c r="A4" i="6"/>
  <c r="A4" i="5"/>
  <c r="F7" i="2"/>
  <c r="F56" i="2" s="1"/>
  <c r="F130" i="2" s="1"/>
  <c r="F218" i="2"/>
  <c r="F263" i="2" s="1"/>
  <c r="F16" i="13"/>
  <c r="F18" i="13"/>
  <c r="E23" i="13"/>
  <c r="F16" i="20"/>
  <c r="F18" i="20" s="1"/>
  <c r="E23" i="20" s="1"/>
  <c r="L18" i="2"/>
  <c r="B13" i="2"/>
  <c r="C47" i="20" s="1"/>
  <c r="K53" i="6"/>
  <c r="E53" i="6"/>
  <c r="G96" i="6"/>
  <c r="G30" i="6" s="1"/>
  <c r="G31" i="6" s="1"/>
  <c r="G119" i="2" s="1"/>
  <c r="L119" i="2" s="1"/>
  <c r="K61" i="6"/>
  <c r="E61" i="6"/>
  <c r="K55" i="6"/>
  <c r="E55" i="6" s="1"/>
  <c r="O8" i="20"/>
  <c r="E38" i="9"/>
  <c r="E37" i="9"/>
  <c r="E36" i="9"/>
  <c r="E41" i="9" s="1"/>
  <c r="E46" i="30"/>
  <c r="E22" i="11"/>
  <c r="G22" i="11" s="1"/>
  <c r="E15" i="30"/>
  <c r="E17" i="11"/>
  <c r="M17" i="11"/>
  <c r="E73" i="30"/>
  <c r="E31" i="11" s="1"/>
  <c r="M31" i="11" s="1"/>
  <c r="L234" i="2"/>
  <c r="L236" i="2"/>
  <c r="L237" i="2"/>
  <c r="L238" i="2"/>
  <c r="F239" i="2"/>
  <c r="G239" i="2"/>
  <c r="I39" i="6"/>
  <c r="K49" i="6"/>
  <c r="E49" i="6"/>
  <c r="K41" i="6"/>
  <c r="E41" i="6" s="1"/>
  <c r="K44" i="6"/>
  <c r="E44" i="6"/>
  <c r="C21" i="7"/>
  <c r="C23" i="7" s="1"/>
  <c r="G123" i="2" s="1"/>
  <c r="E63" i="30"/>
  <c r="E35" i="30"/>
  <c r="E21" i="11" s="1"/>
  <c r="G21" i="11" s="1"/>
  <c r="E105" i="30"/>
  <c r="E39" i="11"/>
  <c r="M39" i="11" s="1"/>
  <c r="E114" i="30"/>
  <c r="E41" i="11"/>
  <c r="M41" i="11"/>
  <c r="E81" i="30"/>
  <c r="E35" i="11" s="1"/>
  <c r="K35" i="11" s="1"/>
  <c r="E95" i="30"/>
  <c r="E37" i="11" s="1"/>
  <c r="K37" i="11" s="1"/>
  <c r="F41" i="9"/>
  <c r="G161" i="2"/>
  <c r="F61" i="9"/>
  <c r="G162" i="2" s="1"/>
  <c r="F70" i="9"/>
  <c r="G163" i="2"/>
  <c r="L163" i="2" s="1"/>
  <c r="O17" i="21"/>
  <c r="O22" i="21"/>
  <c r="O27" i="21"/>
  <c r="I17" i="6"/>
  <c r="G114" i="2" s="1"/>
  <c r="I19" i="6"/>
  <c r="G115" i="2"/>
  <c r="I21" i="6"/>
  <c r="G116" i="2" s="1"/>
  <c r="D70" i="9"/>
  <c r="A24" i="9"/>
  <c r="A25" i="9" s="1"/>
  <c r="A26" i="9" s="1"/>
  <c r="A27" i="9" s="1"/>
  <c r="A28" i="9"/>
  <c r="A29" i="9" s="1"/>
  <c r="A30" i="9" s="1"/>
  <c r="A31" i="9" s="1"/>
  <c r="A32" i="9"/>
  <c r="A33" i="9" s="1"/>
  <c r="A15" i="7"/>
  <c r="A17" i="7"/>
  <c r="A18" i="7"/>
  <c r="A19" i="7" s="1"/>
  <c r="A21" i="7" s="1"/>
  <c r="A23" i="7" s="1"/>
  <c r="A17" i="6"/>
  <c r="A19" i="6"/>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9"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K42" i="6"/>
  <c r="E42" i="6" s="1"/>
  <c r="K48" i="6"/>
  <c r="E48" i="6"/>
  <c r="K40" i="6"/>
  <c r="E40" i="6" s="1"/>
  <c r="E65" i="9"/>
  <c r="E64" i="9"/>
  <c r="D41" i="9"/>
  <c r="K47" i="6"/>
  <c r="E47" i="6" s="1"/>
  <c r="A15" i="30"/>
  <c r="A25" i="30"/>
  <c r="E183" i="2" s="1"/>
  <c r="G207" i="2"/>
  <c r="L207" i="2"/>
  <c r="A17" i="11"/>
  <c r="A19" i="11" s="1"/>
  <c r="A20" i="11" s="1"/>
  <c r="A21" i="11" s="1"/>
  <c r="A22" i="11"/>
  <c r="A23" i="11" s="1"/>
  <c r="A25" i="11" s="1"/>
  <c r="A26" i="11" s="1"/>
  <c r="A27" i="11" s="1"/>
  <c r="A28" i="11" s="1"/>
  <c r="A30" i="11" s="1"/>
  <c r="A31" i="11" s="1"/>
  <c r="A33" i="11" s="1"/>
  <c r="A34" i="11" s="1"/>
  <c r="A35" i="11" s="1"/>
  <c r="A36" i="11" s="1"/>
  <c r="A37" i="11" s="1"/>
  <c r="A38" i="11" s="1"/>
  <c r="A39" i="11" s="1"/>
  <c r="A40" i="11" s="1"/>
  <c r="A41" i="11" s="1"/>
  <c r="A42" i="11" s="1"/>
  <c r="A43" i="11" s="1"/>
  <c r="D96" i="6"/>
  <c r="D30" i="6" s="1"/>
  <c r="I50" i="5"/>
  <c r="J29" i="8"/>
  <c r="A4" i="13"/>
  <c r="A4" i="20"/>
  <c r="C60" i="13"/>
  <c r="L173" i="2"/>
  <c r="G160" i="2"/>
  <c r="K33" i="21"/>
  <c r="A22" i="21"/>
  <c r="A27" i="21"/>
  <c r="A33" i="21"/>
  <c r="D209" i="2" s="1"/>
  <c r="L168" i="2"/>
  <c r="F48" i="13"/>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8" i="6"/>
  <c r="B66" i="6" s="1"/>
  <c r="G12" i="6"/>
  <c r="G10" i="5"/>
  <c r="B4" i="14"/>
  <c r="O8" i="13"/>
  <c r="P8" i="13"/>
  <c r="C11" i="13"/>
  <c r="C14" i="13"/>
  <c r="C18" i="13"/>
  <c r="C26" i="13"/>
  <c r="C32" i="13"/>
  <c r="C42" i="13"/>
  <c r="C43" i="13"/>
  <c r="C53" i="13"/>
  <c r="C55" i="13"/>
  <c r="C58" i="13"/>
  <c r="C62" i="13"/>
  <c r="C65" i="13"/>
  <c r="C66" i="13"/>
  <c r="C68" i="13"/>
  <c r="C69" i="13"/>
  <c r="C71" i="13"/>
  <c r="A4" i="12"/>
  <c r="A6" i="12"/>
  <c r="E44" i="9"/>
  <c r="E45" i="9"/>
  <c r="E46" i="9"/>
  <c r="E47" i="9"/>
  <c r="E48" i="9"/>
  <c r="E49" i="9"/>
  <c r="E50" i="9"/>
  <c r="E66" i="9"/>
  <c r="A3" i="6"/>
  <c r="A3" i="7" s="1"/>
  <c r="A15" i="8"/>
  <c r="A17" i="8" s="1"/>
  <c r="A19" i="8" s="1"/>
  <c r="A21" i="8" s="1"/>
  <c r="A27" i="8" s="1"/>
  <c r="A29" i="8" s="1"/>
  <c r="A31" i="8" s="1"/>
  <c r="A39" i="8" s="1"/>
  <c r="E12" i="6"/>
  <c r="C29" i="6"/>
  <c r="D36" i="6"/>
  <c r="B34" i="6" s="1"/>
  <c r="E10" i="5"/>
  <c r="A17" i="5"/>
  <c r="F54" i="2"/>
  <c r="F128" i="2"/>
  <c r="F216" i="2"/>
  <c r="F261" i="2" s="1"/>
  <c r="F55" i="2"/>
  <c r="F129" i="2"/>
  <c r="F217" i="2"/>
  <c r="F262" i="2" s="1"/>
  <c r="F58" i="2"/>
  <c r="F132" i="2"/>
  <c r="F220" i="2" s="1"/>
  <c r="F265" i="2" s="1"/>
  <c r="B64" i="2"/>
  <c r="B138" i="2"/>
  <c r="B65" i="2"/>
  <c r="B139" i="2" s="1"/>
  <c r="D78" i="2"/>
  <c r="D90" i="2"/>
  <c r="D80" i="2"/>
  <c r="D91" i="2" s="1"/>
  <c r="D82" i="2"/>
  <c r="D92" i="2"/>
  <c r="D84" i="2"/>
  <c r="D93" i="2" s="1"/>
  <c r="D86" i="2"/>
  <c r="D94" i="2"/>
  <c r="E136" i="2"/>
  <c r="L136" i="2"/>
  <c r="E137" i="2"/>
  <c r="G137" i="2"/>
  <c r="I137" i="2"/>
  <c r="L137" i="2"/>
  <c r="G145" i="2"/>
  <c r="D174" i="2"/>
  <c r="H237" i="2"/>
  <c r="H238" i="2"/>
  <c r="G81" i="2"/>
  <c r="G74" i="2"/>
  <c r="G94" i="2" s="1"/>
  <c r="G69" i="2"/>
  <c r="L82" i="2"/>
  <c r="G86" i="2"/>
  <c r="C33" i="39"/>
  <c r="I33" i="39"/>
  <c r="C41" i="39"/>
  <c r="I41" i="39"/>
  <c r="K42" i="39"/>
  <c r="C27" i="39"/>
  <c r="G27" i="39" s="1"/>
  <c r="C49" i="39"/>
  <c r="I49" i="39"/>
  <c r="I77" i="39"/>
  <c r="D77" i="39"/>
  <c r="I93" i="39"/>
  <c r="D93" i="39"/>
  <c r="O115" i="39"/>
  <c r="J18" i="39"/>
  <c r="K23" i="39"/>
  <c r="I25" i="39"/>
  <c r="D26" i="39"/>
  <c r="G26" i="39" s="1"/>
  <c r="D33" i="39"/>
  <c r="G33" i="39" s="1"/>
  <c r="K34" i="39"/>
  <c r="D41" i="39"/>
  <c r="D49" i="39"/>
  <c r="G49" i="39" s="1"/>
  <c r="K50" i="39"/>
  <c r="K54" i="39"/>
  <c r="C60" i="39"/>
  <c r="I60" i="39"/>
  <c r="K66" i="39"/>
  <c r="C66" i="39"/>
  <c r="K67" i="39"/>
  <c r="C76" i="39"/>
  <c r="I76" i="39"/>
  <c r="K82" i="39"/>
  <c r="C82" i="39"/>
  <c r="C92" i="39"/>
  <c r="G92" i="39"/>
  <c r="I92" i="39"/>
  <c r="C17" i="39"/>
  <c r="K17" i="39"/>
  <c r="Q115" i="39"/>
  <c r="C19" i="39"/>
  <c r="J20" i="39"/>
  <c r="J22" i="39"/>
  <c r="J23" i="39"/>
  <c r="K27" i="39"/>
  <c r="J28" i="39"/>
  <c r="C29" i="39"/>
  <c r="I29" i="39"/>
  <c r="K35" i="39"/>
  <c r="J36" i="39"/>
  <c r="C37" i="39"/>
  <c r="G37" i="39"/>
  <c r="I37" i="39"/>
  <c r="K43" i="39"/>
  <c r="J44" i="39"/>
  <c r="C45" i="39"/>
  <c r="I45" i="39"/>
  <c r="K51" i="39"/>
  <c r="J52" i="39"/>
  <c r="J54" i="39"/>
  <c r="J60" i="39"/>
  <c r="K69" i="39"/>
  <c r="C70" i="39"/>
  <c r="G70" i="39"/>
  <c r="K85" i="39"/>
  <c r="I85" i="39"/>
  <c r="D85" i="39"/>
  <c r="C86" i="39"/>
  <c r="J92" i="39"/>
  <c r="D17" i="39"/>
  <c r="G17" i="39"/>
  <c r="I17" i="39"/>
  <c r="R115" i="39"/>
  <c r="I20" i="39"/>
  <c r="C21" i="39"/>
  <c r="D23" i="39"/>
  <c r="J24" i="39"/>
  <c r="C31" i="39"/>
  <c r="C32" i="39"/>
  <c r="D32" i="39"/>
  <c r="D34" i="39"/>
  <c r="C39" i="39"/>
  <c r="C40" i="39"/>
  <c r="D40" i="39"/>
  <c r="D42" i="39"/>
  <c r="G42" i="39"/>
  <c r="C47" i="39"/>
  <c r="G47" i="39" s="1"/>
  <c r="C48" i="39"/>
  <c r="D48" i="39"/>
  <c r="D50" i="39"/>
  <c r="K58" i="39"/>
  <c r="C58" i="39"/>
  <c r="K59" i="39"/>
  <c r="C68" i="39"/>
  <c r="I68" i="39"/>
  <c r="K74" i="39"/>
  <c r="C74" i="39"/>
  <c r="D76" i="39"/>
  <c r="C84" i="39"/>
  <c r="I84" i="39"/>
  <c r="K90" i="39"/>
  <c r="C90" i="39"/>
  <c r="G90" i="39" s="1"/>
  <c r="K91" i="39"/>
  <c r="N115" i="39"/>
  <c r="S115" i="39"/>
  <c r="C53" i="39"/>
  <c r="J55" i="39"/>
  <c r="C56" i="39"/>
  <c r="G56" i="39"/>
  <c r="I56" i="39"/>
  <c r="I61" i="39"/>
  <c r="K62" i="39"/>
  <c r="J63" i="39"/>
  <c r="C64" i="39"/>
  <c r="G64" i="39" s="1"/>
  <c r="I64" i="39"/>
  <c r="I69" i="39"/>
  <c r="K70" i="39"/>
  <c r="J71" i="39"/>
  <c r="C72" i="39"/>
  <c r="I72" i="39"/>
  <c r="K78" i="39"/>
  <c r="J79" i="39"/>
  <c r="C80" i="39"/>
  <c r="I80" i="39"/>
  <c r="I116" i="39" s="1"/>
  <c r="K86" i="39"/>
  <c r="J87" i="39"/>
  <c r="C88" i="39"/>
  <c r="G88" i="39"/>
  <c r="I88" i="39"/>
  <c r="K94" i="39"/>
  <c r="C59" i="39"/>
  <c r="D59" i="39"/>
  <c r="C67" i="39"/>
  <c r="G67" i="39" s="1"/>
  <c r="D67" i="39"/>
  <c r="C75" i="39"/>
  <c r="D75" i="39"/>
  <c r="C83" i="39"/>
  <c r="D83" i="39"/>
  <c r="C91" i="39"/>
  <c r="G91" i="39" s="1"/>
  <c r="D91" i="39"/>
  <c r="C31" i="38"/>
  <c r="G31" i="38"/>
  <c r="C60" i="38"/>
  <c r="I60" i="38"/>
  <c r="K63" i="38"/>
  <c r="C63" i="38"/>
  <c r="C82" i="38"/>
  <c r="G82" i="38" s="1"/>
  <c r="J82" i="38"/>
  <c r="I90" i="38"/>
  <c r="D90" i="38"/>
  <c r="G90" i="38"/>
  <c r="K93" i="38"/>
  <c r="C93" i="38"/>
  <c r="G93" i="38"/>
  <c r="C108" i="38"/>
  <c r="I108" i="38"/>
  <c r="K111" i="38"/>
  <c r="C111" i="38"/>
  <c r="G111" i="38"/>
  <c r="C114" i="38"/>
  <c r="G114" i="38" s="1"/>
  <c r="J114" i="38"/>
  <c r="C115" i="38"/>
  <c r="J115" i="38"/>
  <c r="I122" i="38"/>
  <c r="D122" i="38"/>
  <c r="K163" i="38"/>
  <c r="D163" i="38"/>
  <c r="G178" i="38"/>
  <c r="C28" i="38"/>
  <c r="G28" i="38" s="1"/>
  <c r="J28" i="38"/>
  <c r="C33" i="38"/>
  <c r="C35" i="38"/>
  <c r="K42" i="38"/>
  <c r="I49" i="38"/>
  <c r="J51" i="38"/>
  <c r="C52" i="38"/>
  <c r="I52" i="38"/>
  <c r="I57" i="38"/>
  <c r="K83" i="38"/>
  <c r="K94" i="38"/>
  <c r="C96" i="38"/>
  <c r="G96" i="38" s="1"/>
  <c r="I96" i="38"/>
  <c r="J103" i="38"/>
  <c r="J108" i="38"/>
  <c r="K114" i="38"/>
  <c r="K115" i="38"/>
  <c r="K126" i="38"/>
  <c r="I129" i="38"/>
  <c r="C129" i="38"/>
  <c r="D147" i="38"/>
  <c r="I147" i="38"/>
  <c r="K151" i="38"/>
  <c r="D155" i="38"/>
  <c r="I155" i="38"/>
  <c r="C156" i="38"/>
  <c r="G156" i="38" s="1"/>
  <c r="I167" i="38"/>
  <c r="D167" i="38"/>
  <c r="C170" i="38"/>
  <c r="G170" i="38" s="1"/>
  <c r="C29" i="38"/>
  <c r="G29" i="38" s="1"/>
  <c r="I30" i="38"/>
  <c r="K31" i="38"/>
  <c r="K32" i="38"/>
  <c r="I33" i="38"/>
  <c r="D34" i="38"/>
  <c r="K35" i="38"/>
  <c r="J36" i="38"/>
  <c r="K37" i="38"/>
  <c r="C38" i="38"/>
  <c r="G38" i="38"/>
  <c r="C39" i="38"/>
  <c r="D39" i="38"/>
  <c r="J42" i="38"/>
  <c r="K43" i="38"/>
  <c r="J44" i="38"/>
  <c r="K45" i="38"/>
  <c r="C46" i="38"/>
  <c r="G46" i="38"/>
  <c r="C47" i="38"/>
  <c r="D47" i="38"/>
  <c r="J50" i="38"/>
  <c r="K51" i="38"/>
  <c r="J52" i="38"/>
  <c r="K53" i="38"/>
  <c r="C54" i="38"/>
  <c r="C55" i="38"/>
  <c r="D55" i="38"/>
  <c r="I58" i="38"/>
  <c r="D58" i="38"/>
  <c r="C59" i="38"/>
  <c r="G59" i="38"/>
  <c r="K61" i="38"/>
  <c r="C61" i="38"/>
  <c r="C62" i="38"/>
  <c r="I84" i="38"/>
  <c r="C85" i="38"/>
  <c r="D87" i="38"/>
  <c r="C92" i="38"/>
  <c r="I92" i="38"/>
  <c r="J94" i="38"/>
  <c r="D94" i="38"/>
  <c r="K95" i="38"/>
  <c r="C95" i="38"/>
  <c r="G95" i="38" s="1"/>
  <c r="C98" i="38"/>
  <c r="G98" i="38"/>
  <c r="J98" i="38"/>
  <c r="C99" i="38"/>
  <c r="J99" i="38"/>
  <c r="D102" i="38"/>
  <c r="G102" i="38" s="1"/>
  <c r="C103" i="38"/>
  <c r="G103" i="38" s="1"/>
  <c r="I106" i="38"/>
  <c r="D106" i="38"/>
  <c r="C107" i="38"/>
  <c r="K109" i="38"/>
  <c r="C109" i="38"/>
  <c r="G109" i="38" s="1"/>
  <c r="C110" i="38"/>
  <c r="G110" i="38" s="1"/>
  <c r="I116" i="38"/>
  <c r="D119" i="38"/>
  <c r="G119" i="38" s="1"/>
  <c r="C124" i="38"/>
  <c r="I124" i="38"/>
  <c r="J126" i="38"/>
  <c r="D126" i="38"/>
  <c r="K127" i="38"/>
  <c r="C127" i="38"/>
  <c r="G127" i="38"/>
  <c r="C130" i="38"/>
  <c r="G130" i="38" s="1"/>
  <c r="J130" i="38"/>
  <c r="C131" i="38"/>
  <c r="J131" i="38"/>
  <c r="D134" i="38"/>
  <c r="D136" i="38"/>
  <c r="C139" i="38"/>
  <c r="J139" i="38"/>
  <c r="C161" i="38"/>
  <c r="G161" i="38"/>
  <c r="I161" i="38"/>
  <c r="C163" i="38"/>
  <c r="G163" i="38" s="1"/>
  <c r="K172" i="38"/>
  <c r="G172" i="38"/>
  <c r="C83" i="38"/>
  <c r="J83" i="38"/>
  <c r="K125" i="38"/>
  <c r="C125" i="38"/>
  <c r="G125" i="38" s="1"/>
  <c r="J135" i="38"/>
  <c r="C135" i="38"/>
  <c r="I140" i="38"/>
  <c r="C140" i="38"/>
  <c r="G140" i="38" s="1"/>
  <c r="K148" i="38"/>
  <c r="C148" i="38"/>
  <c r="G148" i="38" s="1"/>
  <c r="C159" i="38"/>
  <c r="G159" i="38"/>
  <c r="J159" i="38"/>
  <c r="C160" i="38"/>
  <c r="J160" i="38"/>
  <c r="C34" i="38"/>
  <c r="J35" i="38"/>
  <c r="C36" i="38"/>
  <c r="G36" i="38" s="1"/>
  <c r="I36" i="38"/>
  <c r="I41" i="38"/>
  <c r="J43" i="38"/>
  <c r="C44" i="38"/>
  <c r="I44" i="38"/>
  <c r="K50" i="38"/>
  <c r="J60" i="38"/>
  <c r="D82" i="38"/>
  <c r="I85" i="38"/>
  <c r="I97" i="38"/>
  <c r="C97" i="38"/>
  <c r="I117" i="38"/>
  <c r="C128" i="38"/>
  <c r="I128" i="38"/>
  <c r="D135" i="38"/>
  <c r="I151" i="38"/>
  <c r="D151" i="38"/>
  <c r="K155" i="38"/>
  <c r="C164" i="38"/>
  <c r="G164" i="38" s="1"/>
  <c r="I164" i="38"/>
  <c r="C32" i="38"/>
  <c r="C40" i="38"/>
  <c r="G40" i="38" s="1"/>
  <c r="I40" i="38"/>
  <c r="I43" i="38"/>
  <c r="C48" i="38"/>
  <c r="G48" i="38" s="1"/>
  <c r="I48" i="38"/>
  <c r="I51" i="38"/>
  <c r="C56" i="38"/>
  <c r="I56" i="38"/>
  <c r="J59" i="38"/>
  <c r="C64" i="38"/>
  <c r="G64" i="38" s="1"/>
  <c r="I64" i="38"/>
  <c r="I65" i="38"/>
  <c r="C65" i="38"/>
  <c r="D97" i="38"/>
  <c r="G97" i="38" s="1"/>
  <c r="D104" i="38"/>
  <c r="J107" i="38"/>
  <c r="C112" i="38"/>
  <c r="I112" i="38"/>
  <c r="I113" i="38"/>
  <c r="C113" i="38"/>
  <c r="D129" i="38"/>
  <c r="K138" i="38"/>
  <c r="C138" i="38"/>
  <c r="J140" i="38"/>
  <c r="I145" i="38"/>
  <c r="C157" i="38"/>
  <c r="I157" i="38"/>
  <c r="D171" i="38"/>
  <c r="G171" i="38" s="1"/>
  <c r="I171" i="38"/>
  <c r="J64" i="38"/>
  <c r="K87" i="38"/>
  <c r="I89" i="38"/>
  <c r="J96" i="38"/>
  <c r="K103" i="38"/>
  <c r="I105" i="38"/>
  <c r="J112" i="38"/>
  <c r="K119" i="38"/>
  <c r="I121" i="38"/>
  <c r="J128" i="38"/>
  <c r="K136" i="38"/>
  <c r="I142" i="38"/>
  <c r="C142" i="38"/>
  <c r="C144" i="38"/>
  <c r="J144" i="38"/>
  <c r="D149" i="38"/>
  <c r="I149" i="38"/>
  <c r="K160" i="38"/>
  <c r="I166" i="38"/>
  <c r="C169" i="38"/>
  <c r="I169" i="38"/>
  <c r="K59" i="38"/>
  <c r="I61" i="38"/>
  <c r="K82" i="38"/>
  <c r="D83" i="38"/>
  <c r="J84" i="38"/>
  <c r="C88" i="38"/>
  <c r="G88" i="38" s="1"/>
  <c r="K91" i="38"/>
  <c r="I93" i="38"/>
  <c r="D99" i="38"/>
  <c r="J100" i="38"/>
  <c r="C104" i="38"/>
  <c r="G104" i="38"/>
  <c r="K107" i="38"/>
  <c r="I109" i="38"/>
  <c r="D115" i="38"/>
  <c r="J116" i="38"/>
  <c r="C120" i="38"/>
  <c r="G120" i="38" s="1"/>
  <c r="K123" i="38"/>
  <c r="I125" i="38"/>
  <c r="D131" i="38"/>
  <c r="K132" i="38"/>
  <c r="D139" i="38"/>
  <c r="K144" i="38"/>
  <c r="K150" i="38"/>
  <c r="D152" i="38"/>
  <c r="G152" i="38"/>
  <c r="C153" i="38"/>
  <c r="K154" i="38"/>
  <c r="D156" i="38"/>
  <c r="J156" i="38"/>
  <c r="D157" i="38"/>
  <c r="C166" i="38"/>
  <c r="G166" i="38"/>
  <c r="J169" i="38"/>
  <c r="D132" i="38"/>
  <c r="G132" i="38" s="1"/>
  <c r="J133" i="38"/>
  <c r="J137" i="38"/>
  <c r="C141" i="38"/>
  <c r="I141" i="38"/>
  <c r="C143" i="38"/>
  <c r="G143" i="38" s="1"/>
  <c r="D148" i="38"/>
  <c r="I150" i="38"/>
  <c r="J157" i="38"/>
  <c r="I158" i="38"/>
  <c r="C158" i="38"/>
  <c r="G158" i="38" s="1"/>
  <c r="K159" i="38"/>
  <c r="I162" i="38"/>
  <c r="J164" i="38"/>
  <c r="D165" i="38"/>
  <c r="D168" i="38"/>
  <c r="G168" i="38"/>
  <c r="I138" i="38"/>
  <c r="D144" i="38"/>
  <c r="J145" i="38"/>
  <c r="C149" i="38"/>
  <c r="G149" i="38" s="1"/>
  <c r="K152" i="38"/>
  <c r="I154" i="38"/>
  <c r="D160" i="38"/>
  <c r="J161" i="38"/>
  <c r="C165" i="38"/>
  <c r="G165" i="38" s="1"/>
  <c r="K168" i="38"/>
  <c r="I170" i="38"/>
  <c r="G101" i="38"/>
  <c r="G20" i="38"/>
  <c r="G177" i="2"/>
  <c r="L172" i="2"/>
  <c r="G46" i="39"/>
  <c r="E27" i="30"/>
  <c r="E20" i="11" s="1"/>
  <c r="G20" i="11" s="1"/>
  <c r="F117" i="30"/>
  <c r="A3" i="8"/>
  <c r="G63" i="6"/>
  <c r="G29" i="6" s="1"/>
  <c r="D95" i="41"/>
  <c r="E106" i="2"/>
  <c r="G87" i="38"/>
  <c r="E100" i="41"/>
  <c r="D103" i="41"/>
  <c r="D105" i="41" s="1"/>
  <c r="E187" i="38"/>
  <c r="E193" i="38"/>
  <c r="G19" i="38"/>
  <c r="F23" i="38"/>
  <c r="I34" i="5"/>
  <c r="A191" i="38"/>
  <c r="C95" i="41"/>
  <c r="A27" i="30"/>
  <c r="A35" i="30"/>
  <c r="A46" i="30" s="1"/>
  <c r="A53" i="30" s="1"/>
  <c r="A62" i="30" s="1"/>
  <c r="A63" i="30" s="1"/>
  <c r="A65" i="30" s="1"/>
  <c r="A67" i="30" s="1"/>
  <c r="A73" i="30" s="1"/>
  <c r="A74" i="30" s="1"/>
  <c r="A76" i="30" s="1"/>
  <c r="A77" i="30" s="1"/>
  <c r="A81" i="30" s="1"/>
  <c r="A85" i="30" s="1"/>
  <c r="A95" i="30" s="1"/>
  <c r="A102" i="30" s="1"/>
  <c r="A105" i="30" s="1"/>
  <c r="A111" i="30" s="1"/>
  <c r="A114" i="30" s="1"/>
  <c r="A117" i="30" s="1"/>
  <c r="G77" i="39"/>
  <c r="D35" i="5"/>
  <c r="A194" i="38"/>
  <c r="G167" i="38"/>
  <c r="E108" i="2"/>
  <c r="A84" i="35"/>
  <c r="E72" i="2"/>
  <c r="G23" i="48"/>
  <c r="D23" i="48"/>
  <c r="E23" i="48"/>
  <c r="H23" i="48" s="1"/>
  <c r="G27" i="48"/>
  <c r="D27" i="48"/>
  <c r="E27" i="48" s="1"/>
  <c r="H27" i="48" s="1"/>
  <c r="I27" i="48" s="1"/>
  <c r="D25" i="48"/>
  <c r="E25" i="48" s="1"/>
  <c r="H25" i="48" s="1"/>
  <c r="G25" i="48"/>
  <c r="D24" i="48"/>
  <c r="E24" i="48" s="1"/>
  <c r="D22" i="48"/>
  <c r="E22" i="48"/>
  <c r="D26" i="48"/>
  <c r="E26" i="48" s="1"/>
  <c r="H26" i="48" s="1"/>
  <c r="F43" i="48"/>
  <c r="J43" i="48"/>
  <c r="G43" i="48"/>
  <c r="D64" i="35"/>
  <c r="L80" i="2"/>
  <c r="J80" i="2"/>
  <c r="I54" i="32"/>
  <c r="L123" i="2"/>
  <c r="K56" i="6"/>
  <c r="E56" i="6" s="1"/>
  <c r="L226" i="2"/>
  <c r="L229" i="2" s="1"/>
  <c r="C133" i="20"/>
  <c r="C134" i="20" s="1"/>
  <c r="C135" i="20" s="1"/>
  <c r="C136" i="20" s="1"/>
  <c r="C137" i="20" s="1"/>
  <c r="C138" i="20"/>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C222" i="20"/>
  <c r="C223" i="20" s="1"/>
  <c r="C224" i="20" s="1"/>
  <c r="C225" i="20"/>
  <c r="C226" i="20" s="1"/>
  <c r="C227" i="20" s="1"/>
  <c r="C228" i="20" s="1"/>
  <c r="C229" i="20" s="1"/>
  <c r="C230" i="20"/>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C316" i="20"/>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C407" i="20"/>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498" i="20"/>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578" i="20"/>
  <c r="C579" i="20" s="1"/>
  <c r="C580" i="20" s="1"/>
  <c r="C581" i="20" s="1"/>
  <c r="C582" i="20" s="1"/>
  <c r="C583" i="20" s="1"/>
  <c r="C584" i="20" s="1"/>
  <c r="C585" i="20" s="1"/>
  <c r="C586" i="20" s="1"/>
  <c r="C587" i="20" s="1"/>
  <c r="C588" i="20" s="1"/>
  <c r="C589" i="20"/>
  <c r="C590" i="20" s="1"/>
  <c r="C591" i="20" s="1"/>
  <c r="C592" i="20" s="1"/>
  <c r="C593" i="20" s="1"/>
  <c r="C594" i="20" s="1"/>
  <c r="C595" i="20" s="1"/>
  <c r="C596" i="20" s="1"/>
  <c r="C597" i="20" s="1"/>
  <c r="C598" i="20" s="1"/>
  <c r="C599" i="20" s="1"/>
  <c r="C600" i="20" s="1"/>
  <c r="C601" i="20" s="1"/>
  <c r="C602" i="20" s="1"/>
  <c r="C603" i="20" s="1"/>
  <c r="C604" i="20" s="1"/>
  <c r="C605" i="20" s="1"/>
  <c r="C606" i="20" s="1"/>
  <c r="C607" i="20" s="1"/>
  <c r="C669" i="20"/>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C760" i="20"/>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846" i="20"/>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1026" i="20"/>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117" i="20"/>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C1208" i="20"/>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G48" i="20"/>
  <c r="C47" i="13"/>
  <c r="S22" i="21"/>
  <c r="B15" i="2"/>
  <c r="B18" i="2" s="1"/>
  <c r="B20" i="2" s="1"/>
  <c r="B27" i="2" s="1"/>
  <c r="B29" i="2" s="1"/>
  <c r="B30" i="2" s="1"/>
  <c r="O27" i="42"/>
  <c r="O23" i="42"/>
  <c r="O21" i="42"/>
  <c r="O22" i="42"/>
  <c r="O26" i="42"/>
  <c r="O24" i="42"/>
  <c r="O20" i="42"/>
  <c r="O19" i="42"/>
  <c r="S22" i="31"/>
  <c r="S23" i="31"/>
  <c r="S25" i="31"/>
  <c r="S24" i="31"/>
  <c r="S26" i="31"/>
  <c r="K39" i="6"/>
  <c r="E251" i="2"/>
  <c r="E250" i="2"/>
  <c r="B23" i="7"/>
  <c r="K52" i="6"/>
  <c r="E52" i="6"/>
  <c r="E74" i="2"/>
  <c r="E66" i="2"/>
  <c r="G34" i="38"/>
  <c r="G78" i="39"/>
  <c r="G154" i="38"/>
  <c r="S28" i="31"/>
  <c r="F80" i="35"/>
  <c r="G108" i="2"/>
  <c r="L108" i="2"/>
  <c r="G134" i="38"/>
  <c r="F187" i="38"/>
  <c r="F193" i="38"/>
  <c r="I54" i="49"/>
  <c r="D21" i="49"/>
  <c r="I54" i="47"/>
  <c r="D21" i="47"/>
  <c r="D22" i="47"/>
  <c r="D23" i="47" s="1"/>
  <c r="D24" i="47" s="1"/>
  <c r="D25" i="47" s="1"/>
  <c r="D26" i="47" s="1"/>
  <c r="D27" i="47" s="1"/>
  <c r="D28" i="47" s="1"/>
  <c r="D29" i="47"/>
  <c r="D30" i="47"/>
  <c r="D31" i="47"/>
  <c r="D32" i="47" s="1"/>
  <c r="N1122" i="13"/>
  <c r="O1122" i="13"/>
  <c r="C1164" i="13"/>
  <c r="C1165" i="13" s="1"/>
  <c r="C1166" i="13" s="1"/>
  <c r="C1167" i="13" s="1"/>
  <c r="C1168" i="13"/>
  <c r="C1169" i="13" s="1"/>
  <c r="C1170" i="13" s="1"/>
  <c r="C1171" i="13" s="1"/>
  <c r="C1172" i="13" s="1"/>
  <c r="C1173" i="13" s="1"/>
  <c r="C1174" i="13" s="1"/>
  <c r="C1175" i="13" s="1"/>
  <c r="C1176" i="13" s="1"/>
  <c r="C1177" i="13" s="1"/>
  <c r="C1178" i="13" s="1"/>
  <c r="C1179" i="13" s="1"/>
  <c r="C1180" i="13" s="1"/>
  <c r="C1181" i="13" s="1"/>
  <c r="C1182" i="13" s="1"/>
  <c r="C1183" i="13" s="1"/>
  <c r="C1184" i="13" s="1"/>
  <c r="C1185" i="13" s="1"/>
  <c r="C1186" i="13" s="1"/>
  <c r="C1187" i="13" s="1"/>
  <c r="C1188" i="13" s="1"/>
  <c r="C1189" i="13" s="1"/>
  <c r="C1190" i="13" s="1"/>
  <c r="C1191" i="13" s="1"/>
  <c r="C1192" i="13" s="1"/>
  <c r="C1193" i="13" s="1"/>
  <c r="M1122" i="13"/>
  <c r="C934" i="20"/>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N1036" i="13"/>
  <c r="C1078" i="13"/>
  <c r="C1079" i="13"/>
  <c r="C1080" i="13"/>
  <c r="C1081" i="13" s="1"/>
  <c r="C1082" i="13" s="1"/>
  <c r="C1083" i="13" s="1"/>
  <c r="C1084" i="13" s="1"/>
  <c r="C1085" i="13" s="1"/>
  <c r="C1086" i="13" s="1"/>
  <c r="C1087" i="13" s="1"/>
  <c r="C1088" i="13" s="1"/>
  <c r="C1089" i="13" s="1"/>
  <c r="C1090" i="13" s="1"/>
  <c r="C1091" i="13" s="1"/>
  <c r="C1092" i="13" s="1"/>
  <c r="C1093" i="13" s="1"/>
  <c r="C1094" i="13" s="1"/>
  <c r="C1095" i="13" s="1"/>
  <c r="C1096" i="13" s="1"/>
  <c r="C1097" i="13" s="1"/>
  <c r="C1098" i="13" s="1"/>
  <c r="C1099" i="13" s="1"/>
  <c r="C1100" i="13" s="1"/>
  <c r="C1101" i="13" s="1"/>
  <c r="C1102" i="13" s="1"/>
  <c r="C1103" i="13" s="1"/>
  <c r="C1104" i="13" s="1"/>
  <c r="C1105" i="13" s="1"/>
  <c r="C1106" i="13" s="1"/>
  <c r="C1107" i="13" s="1"/>
  <c r="M1036" i="13"/>
  <c r="O1036" i="13" s="1"/>
  <c r="N950" i="13"/>
  <c r="C992" i="13"/>
  <c r="C993" i="13" s="1"/>
  <c r="C994" i="13" s="1"/>
  <c r="C995" i="13" s="1"/>
  <c r="C996" i="13" s="1"/>
  <c r="C997" i="13" s="1"/>
  <c r="C998" i="13" s="1"/>
  <c r="C999" i="13" s="1"/>
  <c r="C1000" i="13" s="1"/>
  <c r="C1001" i="13" s="1"/>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M950" i="13"/>
  <c r="O950" i="13"/>
  <c r="N864" i="13"/>
  <c r="C906" i="13"/>
  <c r="C907" i="13" s="1"/>
  <c r="C908" i="13" s="1"/>
  <c r="C909" i="13" s="1"/>
  <c r="C910" i="13" s="1"/>
  <c r="C911" i="13" s="1"/>
  <c r="C912" i="13" s="1"/>
  <c r="C913" i="13" s="1"/>
  <c r="C914" i="13" s="1"/>
  <c r="C915" i="13" s="1"/>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M864" i="13"/>
  <c r="N778" i="13"/>
  <c r="C820" i="13"/>
  <c r="C821" i="13" s="1"/>
  <c r="C822" i="13" s="1"/>
  <c r="C823" i="13" s="1"/>
  <c r="C824" i="13" s="1"/>
  <c r="C825" i="13" s="1"/>
  <c r="C826" i="13" s="1"/>
  <c r="C827" i="13" s="1"/>
  <c r="C828" i="13" s="1"/>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N692" i="13"/>
  <c r="O692" i="13" s="1"/>
  <c r="C734" i="13"/>
  <c r="C735" i="13"/>
  <c r="C736" i="13"/>
  <c r="C737" i="13" s="1"/>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M692" i="13"/>
  <c r="N606" i="13"/>
  <c r="C648" i="13"/>
  <c r="C649" i="13"/>
  <c r="C650" i="13" s="1"/>
  <c r="C651" i="13" s="1"/>
  <c r="C652" i="13" s="1"/>
  <c r="C653" i="13" s="1"/>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M606" i="13"/>
  <c r="N520" i="13"/>
  <c r="O520" i="13" s="1"/>
  <c r="C562" i="13"/>
  <c r="C563" i="13" s="1"/>
  <c r="C564" i="13" s="1"/>
  <c r="C565" i="13" s="1"/>
  <c r="C566" i="13" s="1"/>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M520" i="13"/>
  <c r="N434" i="13"/>
  <c r="C476" i="13"/>
  <c r="C477" i="13" s="1"/>
  <c r="C478" i="13" s="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M434" i="13"/>
  <c r="C390" i="13"/>
  <c r="C391" i="13" s="1"/>
  <c r="C392" i="13" s="1"/>
  <c r="C393" i="13" s="1"/>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N262" i="13"/>
  <c r="C307" i="13"/>
  <c r="C308" i="13" s="1"/>
  <c r="C309" i="13" s="1"/>
  <c r="C310" i="13"/>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M262" i="13"/>
  <c r="C132" i="13"/>
  <c r="C133" i="13" s="1"/>
  <c r="C134" i="13" s="1"/>
  <c r="C135" i="13"/>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O1048" i="13"/>
  <c r="P1048" i="13" s="1"/>
  <c r="O962" i="13"/>
  <c r="M1048" i="13"/>
  <c r="M962" i="13"/>
  <c r="M963" i="13"/>
  <c r="O963" i="13"/>
  <c r="M1135" i="13"/>
  <c r="O1135" i="13"/>
  <c r="O964" i="13"/>
  <c r="M1050" i="13"/>
  <c r="O1050" i="13"/>
  <c r="M964" i="13"/>
  <c r="P964" i="13" s="1"/>
  <c r="O535" i="13"/>
  <c r="M535" i="13"/>
  <c r="M450" i="13"/>
  <c r="O450" i="13"/>
  <c r="M279" i="13"/>
  <c r="O279" i="13"/>
  <c r="M280" i="13"/>
  <c r="O280" i="13"/>
  <c r="P280" i="13" s="1"/>
  <c r="M196" i="13"/>
  <c r="O281" i="13"/>
  <c r="M281" i="13"/>
  <c r="P281" i="13"/>
  <c r="O196" i="13"/>
  <c r="M197" i="13"/>
  <c r="O197" i="13"/>
  <c r="M198" i="13"/>
  <c r="O198" i="13"/>
  <c r="I47" i="30"/>
  <c r="I28" i="30"/>
  <c r="I36" i="30"/>
  <c r="H21" i="47"/>
  <c r="F22" i="47"/>
  <c r="H22" i="47" s="1"/>
  <c r="F22" i="49"/>
  <c r="F23" i="49"/>
  <c r="F24" i="49" s="1"/>
  <c r="K22" i="47"/>
  <c r="F23" i="47"/>
  <c r="H23" i="47" s="1"/>
  <c r="K23" i="47" s="1"/>
  <c r="K21" i="47"/>
  <c r="F24" i="47"/>
  <c r="F25" i="47" s="1"/>
  <c r="H24" i="47"/>
  <c r="K24" i="47" s="1"/>
  <c r="K43" i="48"/>
  <c r="G164" i="2"/>
  <c r="K47" i="48"/>
  <c r="I53" i="30"/>
  <c r="I52" i="30" s="1"/>
  <c r="E39" i="6"/>
  <c r="I63" i="6"/>
  <c r="I29" i="6"/>
  <c r="D31" i="6"/>
  <c r="I96" i="6"/>
  <c r="I30" i="6" s="1"/>
  <c r="I31" i="6" s="1"/>
  <c r="G118" i="2" s="1"/>
  <c r="K96" i="6"/>
  <c r="K30" i="6" s="1"/>
  <c r="K31" i="6" s="1"/>
  <c r="J96" i="6"/>
  <c r="J30" i="6" s="1"/>
  <c r="E96" i="6"/>
  <c r="E30" i="6" s="1"/>
  <c r="E31" i="6" s="1"/>
  <c r="G120" i="2" s="1"/>
  <c r="L120" i="2" s="1"/>
  <c r="K46" i="6"/>
  <c r="J63" i="6"/>
  <c r="J29" i="6" s="1"/>
  <c r="K63" i="6"/>
  <c r="K29" i="6" s="1"/>
  <c r="E46" i="6"/>
  <c r="E63" i="6"/>
  <c r="E29" i="6" s="1"/>
  <c r="J27" i="8"/>
  <c r="J31" i="8" s="1"/>
  <c r="G23" i="41"/>
  <c r="E22" i="20"/>
  <c r="H42" i="41"/>
  <c r="G255" i="2" s="1"/>
  <c r="L252" i="2"/>
  <c r="G257" i="2"/>
  <c r="G258" i="2" s="1"/>
  <c r="D33" i="9"/>
  <c r="G146" i="2" s="1"/>
  <c r="G149" i="2" s="1"/>
  <c r="C1251" i="13"/>
  <c r="C1252" i="13" s="1"/>
  <c r="C1253" i="13" s="1"/>
  <c r="C1254" i="13" s="1"/>
  <c r="C1255" i="13" s="1"/>
  <c r="C1256" i="13" s="1"/>
  <c r="C1257" i="13" s="1"/>
  <c r="C1258" i="13" s="1"/>
  <c r="C1259" i="13" s="1"/>
  <c r="C1260" i="13" s="1"/>
  <c r="C1261" i="13" s="1"/>
  <c r="C1262" i="13" s="1"/>
  <c r="C1263" i="13" s="1"/>
  <c r="C1264" i="13" s="1"/>
  <c r="C1265" i="13" s="1"/>
  <c r="C1266" i="13" s="1"/>
  <c r="C1267" i="13" s="1"/>
  <c r="C1268" i="13" s="1"/>
  <c r="C1269" i="13" s="1"/>
  <c r="C1270" i="13" s="1"/>
  <c r="C1271" i="13" s="1"/>
  <c r="C1272" i="13" s="1"/>
  <c r="C1273" i="13" s="1"/>
  <c r="C1274" i="13" s="1"/>
  <c r="C1275" i="13" s="1"/>
  <c r="C1276" i="13" s="1"/>
  <c r="C1277" i="13" s="1"/>
  <c r="C1278" i="13" s="1"/>
  <c r="C1279" i="13" s="1"/>
  <c r="C1280" i="13" s="1"/>
  <c r="N1209" i="13"/>
  <c r="O1209" i="13" s="1"/>
  <c r="M1209" i="13"/>
  <c r="M1221" i="13"/>
  <c r="P1221" i="13"/>
  <c r="O1221" i="13"/>
  <c r="E76" i="41"/>
  <c r="E25" i="30"/>
  <c r="K43" i="11"/>
  <c r="G185" i="2" s="1"/>
  <c r="G43" i="11"/>
  <c r="G183" i="2" s="1"/>
  <c r="E26" i="11"/>
  <c r="E43" i="11" s="1"/>
  <c r="I26" i="11"/>
  <c r="I43" i="11" s="1"/>
  <c r="G181" i="2" s="1"/>
  <c r="M40" i="11"/>
  <c r="M43" i="11"/>
  <c r="G184" i="2"/>
  <c r="L184" i="2" s="1"/>
  <c r="L68" i="2"/>
  <c r="L231" i="2"/>
  <c r="J161" i="2" s="1"/>
  <c r="L161" i="2" s="1"/>
  <c r="L66" i="2"/>
  <c r="L70" i="2"/>
  <c r="L92" i="2" s="1"/>
  <c r="G93" i="2"/>
  <c r="K48" i="11" s="1"/>
  <c r="G75" i="20"/>
  <c r="G91" i="2"/>
  <c r="G48" i="11" s="1"/>
  <c r="J235" i="2"/>
  <c r="L235" i="2" s="1"/>
  <c r="L239" i="2" s="1"/>
  <c r="L241" i="2" s="1"/>
  <c r="J114" i="2"/>
  <c r="L114" i="2" s="1"/>
  <c r="K62" i="11"/>
  <c r="K64" i="11" s="1"/>
  <c r="K66" i="11" s="1"/>
  <c r="K51" i="11"/>
  <c r="K53" i="11" s="1"/>
  <c r="K55" i="11" s="1"/>
  <c r="F35" i="10"/>
  <c r="F339" i="2"/>
  <c r="G189" i="2"/>
  <c r="G34" i="39"/>
  <c r="G48" i="39"/>
  <c r="G50" i="39"/>
  <c r="G81" i="39"/>
  <c r="G75" i="39"/>
  <c r="P1009" i="13"/>
  <c r="G204" i="38"/>
  <c r="G207" i="38" s="1"/>
  <c r="G107" i="38"/>
  <c r="G129" i="38"/>
  <c r="G85" i="38"/>
  <c r="G83" i="38"/>
  <c r="G135" i="38"/>
  <c r="G136" i="38"/>
  <c r="G106" i="38"/>
  <c r="G139" i="38"/>
  <c r="G147" i="38"/>
  <c r="G142" i="38"/>
  <c r="G138" i="38"/>
  <c r="G169" i="38"/>
  <c r="G160" i="38"/>
  <c r="G124" i="38"/>
  <c r="J187" i="38"/>
  <c r="J193" i="38" s="1"/>
  <c r="G118" i="38"/>
  <c r="I18" i="5"/>
  <c r="G112" i="38"/>
  <c r="G128" i="38"/>
  <c r="C187" i="38"/>
  <c r="C193" i="38" s="1"/>
  <c r="D187" i="38"/>
  <c r="D193" i="38"/>
  <c r="G144" i="38"/>
  <c r="G141" i="38"/>
  <c r="J78" i="38"/>
  <c r="G53" i="38"/>
  <c r="G108" i="38"/>
  <c r="G116" i="38"/>
  <c r="G146" i="38"/>
  <c r="P1063" i="13"/>
  <c r="G157" i="38"/>
  <c r="K78" i="38"/>
  <c r="G92" i="38"/>
  <c r="G153" i="38"/>
  <c r="K187" i="38"/>
  <c r="K193" i="38" s="1"/>
  <c r="C78" i="38"/>
  <c r="G26" i="5" s="1"/>
  <c r="I26" i="5" s="1"/>
  <c r="G131" i="38"/>
  <c r="G99" i="38"/>
  <c r="D78" i="38"/>
  <c r="E26" i="5" s="1"/>
  <c r="I78" i="38"/>
  <c r="G100" i="38"/>
  <c r="J77" i="38"/>
  <c r="G35" i="38"/>
  <c r="G78" i="38"/>
  <c r="G45" i="38"/>
  <c r="G50" i="38"/>
  <c r="G54" i="38"/>
  <c r="G56" i="38"/>
  <c r="G61" i="38"/>
  <c r="G51" i="38"/>
  <c r="G44" i="38"/>
  <c r="G33" i="38"/>
  <c r="F77" i="38"/>
  <c r="G41" i="38"/>
  <c r="G52" i="38"/>
  <c r="G60" i="38"/>
  <c r="G32" i="38"/>
  <c r="G42" i="38"/>
  <c r="I77" i="38"/>
  <c r="G47" i="38"/>
  <c r="G55" i="38"/>
  <c r="G30" i="38"/>
  <c r="G63" i="38"/>
  <c r="G62" i="38"/>
  <c r="K77" i="38"/>
  <c r="G43" i="38"/>
  <c r="D77" i="38"/>
  <c r="G39" i="38"/>
  <c r="G49" i="38"/>
  <c r="G58" i="38"/>
  <c r="C77" i="38"/>
  <c r="G17" i="38"/>
  <c r="G23" i="38"/>
  <c r="G193" i="2"/>
  <c r="G199" i="2" s="1"/>
  <c r="L200" i="2"/>
  <c r="P457" i="13"/>
  <c r="P1013" i="13"/>
  <c r="P1080" i="13"/>
  <c r="P1095" i="13"/>
  <c r="P1191" i="13"/>
  <c r="P997" i="13"/>
  <c r="P581" i="13"/>
  <c r="P147" i="13"/>
  <c r="P585" i="13"/>
  <c r="P557" i="13"/>
  <c r="P1225" i="13"/>
  <c r="P565" i="13"/>
  <c r="P1001" i="13"/>
  <c r="P1265" i="13"/>
  <c r="P245" i="13"/>
  <c r="P577" i="13"/>
  <c r="G45" i="39"/>
  <c r="G19" i="39"/>
  <c r="G21" i="39"/>
  <c r="G31" i="39"/>
  <c r="G58" i="39"/>
  <c r="G60" i="39"/>
  <c r="G62" i="39"/>
  <c r="G72" i="39"/>
  <c r="G79" i="39"/>
  <c r="G82" i="39"/>
  <c r="G39" i="39"/>
  <c r="G55" i="39"/>
  <c r="G76" i="39"/>
  <c r="G66" i="39"/>
  <c r="G35" i="39"/>
  <c r="G83" i="39"/>
  <c r="G36" i="39"/>
  <c r="G69" i="39"/>
  <c r="G59" i="39"/>
  <c r="G32" i="39"/>
  <c r="G29" i="39"/>
  <c r="K115" i="39"/>
  <c r="G71" i="39"/>
  <c r="G74" i="39"/>
  <c r="G93" i="39"/>
  <c r="I115" i="39"/>
  <c r="G18" i="39"/>
  <c r="J115" i="39"/>
  <c r="G23" i="39"/>
  <c r="G68" i="39"/>
  <c r="G52" i="39"/>
  <c r="G80" i="39"/>
  <c r="G116" i="39" s="1"/>
  <c r="G86" i="39"/>
  <c r="G89" i="39"/>
  <c r="G25" i="39"/>
  <c r="F115" i="39"/>
  <c r="D115" i="39"/>
  <c r="C115" i="39"/>
  <c r="E115" i="39"/>
  <c r="G113" i="39"/>
  <c r="P1232" i="13"/>
  <c r="P1276" i="13"/>
  <c r="G90" i="2"/>
  <c r="G87" i="2"/>
  <c r="L79" i="2"/>
  <c r="P289" i="13"/>
  <c r="P301" i="13"/>
  <c r="P624" i="13"/>
  <c r="P589" i="13"/>
  <c r="P741" i="13"/>
  <c r="P206" i="13"/>
  <c r="K68" i="11"/>
  <c r="K69" i="11" s="1"/>
  <c r="P1137" i="13"/>
  <c r="P1153" i="13"/>
  <c r="P1157" i="13"/>
  <c r="P1181" i="13"/>
  <c r="P243" i="13"/>
  <c r="P402" i="13"/>
  <c r="P913" i="13"/>
  <c r="P1075" i="13"/>
  <c r="P1083" i="13"/>
  <c r="P538" i="13"/>
  <c r="P546" i="13"/>
  <c r="P550" i="13"/>
  <c r="P558" i="13"/>
  <c r="P1016" i="13"/>
  <c r="P1146" i="13"/>
  <c r="P539" i="13"/>
  <c r="P543" i="13"/>
  <c r="P551" i="13"/>
  <c r="P571" i="13"/>
  <c r="P630" i="13"/>
  <c r="P674" i="13"/>
  <c r="P671" i="13"/>
  <c r="P1229" i="13"/>
  <c r="P1233" i="13"/>
  <c r="P1237" i="13"/>
  <c r="P1241" i="13"/>
  <c r="P222" i="13"/>
  <c r="P234" i="13"/>
  <c r="P238" i="13"/>
  <c r="P570" i="13"/>
  <c r="P578" i="13"/>
  <c r="P582" i="13"/>
  <c r="P586" i="13"/>
  <c r="P894" i="13"/>
  <c r="P902" i="13"/>
  <c r="P906" i="13"/>
  <c r="P1070" i="13"/>
  <c r="P879" i="13"/>
  <c r="P1055" i="13"/>
  <c r="P1059" i="13"/>
  <c r="P1243" i="13"/>
  <c r="P312" i="13"/>
  <c r="P320" i="13"/>
  <c r="P483" i="13"/>
  <c r="P503" i="13"/>
  <c r="P711" i="13"/>
  <c r="P927" i="13"/>
  <c r="P197" i="13"/>
  <c r="P305" i="13"/>
  <c r="P659" i="13"/>
  <c r="P205" i="13"/>
  <c r="P213" i="13"/>
  <c r="P233" i="13"/>
  <c r="P237" i="13"/>
  <c r="P241" i="13"/>
  <c r="P553" i="13"/>
  <c r="P656" i="13"/>
  <c r="P406" i="13"/>
  <c r="P882" i="13"/>
  <c r="P886" i="13"/>
  <c r="P1062" i="13"/>
  <c r="P1136" i="13"/>
  <c r="P1140" i="13"/>
  <c r="P1160" i="13"/>
  <c r="P1168" i="13"/>
  <c r="P1172" i="13"/>
  <c r="P1176" i="13"/>
  <c r="P410" i="13"/>
  <c r="P923" i="13"/>
  <c r="P931" i="13"/>
  <c r="P1099" i="13"/>
  <c r="O434" i="13"/>
  <c r="P209" i="13"/>
  <c r="P411" i="13"/>
  <c r="P229" i="13"/>
  <c r="P821" i="13"/>
  <c r="P306" i="13"/>
  <c r="P453" i="13"/>
  <c r="P641" i="13"/>
  <c r="P757" i="13"/>
  <c r="P761" i="13"/>
  <c r="P1171" i="13"/>
  <c r="P418" i="13"/>
  <c r="P1247" i="13"/>
  <c r="P296" i="13"/>
  <c r="P304" i="13"/>
  <c r="P308" i="13"/>
  <c r="P324" i="13"/>
  <c r="P373" i="13"/>
  <c r="P377" i="13"/>
  <c r="P381" i="13"/>
  <c r="P467" i="13"/>
  <c r="P475" i="13"/>
  <c r="P479" i="13"/>
  <c r="P487" i="13"/>
  <c r="P491" i="13"/>
  <c r="P563" i="13"/>
  <c r="P722" i="13"/>
  <c r="P726" i="13"/>
  <c r="P730" i="13"/>
  <c r="P762" i="13"/>
  <c r="P831" i="13"/>
  <c r="P1090" i="13"/>
  <c r="P1094" i="13"/>
  <c r="P1185" i="13"/>
  <c r="P1254" i="13"/>
  <c r="P279" i="13"/>
  <c r="P244" i="13"/>
  <c r="P911" i="13"/>
  <c r="P1087" i="13"/>
  <c r="P655" i="13"/>
  <c r="P820" i="13"/>
  <c r="P828" i="13"/>
  <c r="P844" i="13"/>
  <c r="P1020" i="13"/>
  <c r="P225" i="13"/>
  <c r="P450" i="13"/>
  <c r="P226" i="13"/>
  <c r="P322" i="13"/>
  <c r="P542" i="13"/>
  <c r="P810" i="13"/>
  <c r="P145" i="13"/>
  <c r="P129" i="13"/>
  <c r="P657" i="13"/>
  <c r="P1156" i="13"/>
  <c r="K57" i="11"/>
  <c r="K58" i="11"/>
  <c r="P232" i="13"/>
  <c r="P240" i="13"/>
  <c r="P316" i="13"/>
  <c r="P455" i="13"/>
  <c r="P579" i="13"/>
  <c r="P625" i="13"/>
  <c r="P801" i="13"/>
  <c r="P805" i="13"/>
  <c r="P809" i="13"/>
  <c r="P813" i="13"/>
  <c r="P817" i="13"/>
  <c r="P825" i="13"/>
  <c r="P915" i="13"/>
  <c r="P919" i="13"/>
  <c r="P1012" i="13"/>
  <c r="P1051" i="13"/>
  <c r="P1078" i="13"/>
  <c r="P1082" i="13"/>
  <c r="P1255" i="13"/>
  <c r="P158" i="13"/>
  <c r="P117" i="13"/>
  <c r="P202" i="13"/>
  <c r="P218" i="13"/>
  <c r="P293" i="13"/>
  <c r="P460" i="13"/>
  <c r="P468" i="13"/>
  <c r="P472" i="13"/>
  <c r="P476" i="13"/>
  <c r="P480" i="13"/>
  <c r="P496" i="13"/>
  <c r="P733" i="13"/>
  <c r="P737" i="13"/>
  <c r="P916" i="13"/>
  <c r="P1071" i="13"/>
  <c r="P1106" i="13"/>
  <c r="P1144" i="13"/>
  <c r="P395" i="13"/>
  <c r="P399" i="13"/>
  <c r="P407" i="13"/>
  <c r="P666" i="13"/>
  <c r="P670" i="13"/>
  <c r="P718" i="13"/>
  <c r="P834" i="13"/>
  <c r="P846" i="13"/>
  <c r="P993" i="13"/>
  <c r="P1017" i="13"/>
  <c r="P1021" i="13"/>
  <c r="P1056" i="13"/>
  <c r="P1068" i="13"/>
  <c r="P1179" i="13"/>
  <c r="P1264" i="13"/>
  <c r="P667" i="13"/>
  <c r="P132" i="13"/>
  <c r="P204" i="13"/>
  <c r="P323" i="13"/>
  <c r="P385" i="13"/>
  <c r="P389" i="13"/>
  <c r="P393" i="13"/>
  <c r="P474" i="13"/>
  <c r="P554" i="13"/>
  <c r="P632" i="13"/>
  <c r="P636" i="13"/>
  <c r="P640" i="13"/>
  <c r="P648" i="13"/>
  <c r="P652" i="13"/>
  <c r="P660" i="13"/>
  <c r="P890" i="13"/>
  <c r="P898" i="13"/>
  <c r="P967" i="13"/>
  <c r="P1188" i="13"/>
  <c r="P1192" i="13"/>
  <c r="P1230" i="13"/>
  <c r="P583" i="13"/>
  <c r="P848" i="13"/>
  <c r="P154" i="13"/>
  <c r="P150" i="13"/>
  <c r="P139" i="13"/>
  <c r="P284" i="13"/>
  <c r="P403" i="13"/>
  <c r="P628" i="13"/>
  <c r="P812" i="13"/>
  <c r="P835" i="13"/>
  <c r="P994" i="13"/>
  <c r="P1052" i="13"/>
  <c r="P1259" i="13"/>
  <c r="P537" i="13"/>
  <c r="P621" i="13"/>
  <c r="P883" i="13"/>
  <c r="P887" i="13"/>
  <c r="P1086" i="13"/>
  <c r="P1184" i="13"/>
  <c r="P715" i="13"/>
  <c r="P1003" i="13"/>
  <c r="P1079" i="13"/>
  <c r="P300" i="13"/>
  <c r="P456" i="13"/>
  <c r="P471" i="13"/>
  <c r="P498" i="13"/>
  <c r="P644" i="13"/>
  <c r="P981" i="13"/>
  <c r="P1098" i="13"/>
  <c r="P1167" i="13"/>
  <c r="P1234" i="13"/>
  <c r="P1268" i="13"/>
  <c r="P134" i="13"/>
  <c r="P719" i="13"/>
  <c r="P745" i="13"/>
  <c r="P832" i="13"/>
  <c r="P1105" i="13"/>
  <c r="P125" i="13"/>
  <c r="P230" i="13"/>
  <c r="P297" i="13"/>
  <c r="P464" i="13"/>
  <c r="P720" i="13"/>
  <c r="P922" i="13"/>
  <c r="P933" i="13"/>
  <c r="P1091" i="13"/>
  <c r="P1149" i="13"/>
  <c r="P1272" i="13"/>
  <c r="P330" i="13"/>
  <c r="P1161" i="13"/>
  <c r="P1175" i="13"/>
  <c r="P288" i="13"/>
  <c r="P370" i="13"/>
  <c r="P734" i="13"/>
  <c r="P962" i="13"/>
  <c r="P547" i="13"/>
  <c r="P574" i="13"/>
  <c r="P744" i="13"/>
  <c r="P836" i="13"/>
  <c r="P750" i="13"/>
  <c r="P1251" i="13"/>
  <c r="P160" i="13"/>
  <c r="P144" i="13"/>
  <c r="P140" i="13"/>
  <c r="P102" i="13"/>
  <c r="P227" i="13"/>
  <c r="P231" i="13"/>
  <c r="P235" i="13"/>
  <c r="P246" i="13"/>
  <c r="P287" i="13"/>
  <c r="P314" i="13"/>
  <c r="P390" i="13"/>
  <c r="P394" i="13"/>
  <c r="P470" i="13"/>
  <c r="P481" i="13"/>
  <c r="P485" i="13"/>
  <c r="P493" i="13"/>
  <c r="P541" i="13"/>
  <c r="P552" i="13"/>
  <c r="P556" i="13"/>
  <c r="P560" i="13"/>
  <c r="P587" i="13"/>
  <c r="P591" i="13"/>
  <c r="P622" i="13"/>
  <c r="P638" i="13"/>
  <c r="P731" i="13"/>
  <c r="P804" i="13"/>
  <c r="P807" i="13"/>
  <c r="P811" i="13"/>
  <c r="P928" i="13"/>
  <c r="P932" i="13"/>
  <c r="P991" i="13"/>
  <c r="P1057" i="13"/>
  <c r="P1061" i="13"/>
  <c r="P1065" i="13"/>
  <c r="P1081" i="13"/>
  <c r="P1085" i="13"/>
  <c r="P1092" i="13"/>
  <c r="P1096" i="13"/>
  <c r="P1139" i="13"/>
  <c r="P1238" i="13"/>
  <c r="P1273" i="13"/>
  <c r="O778" i="13"/>
  <c r="P115" i="13"/>
  <c r="P224" i="13"/>
  <c r="P295" i="13"/>
  <c r="P299" i="13"/>
  <c r="P383" i="13"/>
  <c r="P505" i="13"/>
  <c r="P623" i="13"/>
  <c r="P627" i="13"/>
  <c r="P639" i="13"/>
  <c r="P709" i="13"/>
  <c r="P713" i="13"/>
  <c r="P717" i="13"/>
  <c r="P724" i="13"/>
  <c r="P732" i="13"/>
  <c r="P736" i="13"/>
  <c r="P917" i="13"/>
  <c r="P988" i="13"/>
  <c r="P992" i="13"/>
  <c r="P996" i="13"/>
  <c r="P1097" i="13"/>
  <c r="P1101" i="13"/>
  <c r="P1151" i="13"/>
  <c r="P1155" i="13"/>
  <c r="P1182" i="13"/>
  <c r="P1186" i="13"/>
  <c r="P1190" i="13"/>
  <c r="P1227" i="13"/>
  <c r="P1262" i="13"/>
  <c r="P1266" i="13"/>
  <c r="P217" i="13"/>
  <c r="P372" i="13"/>
  <c r="P380" i="13"/>
  <c r="P452" i="13"/>
  <c r="P502" i="13"/>
  <c r="P643" i="13"/>
  <c r="P748" i="13"/>
  <c r="P752" i="13"/>
  <c r="P756" i="13"/>
  <c r="P796" i="13"/>
  <c r="P974" i="13"/>
  <c r="P1004" i="13"/>
  <c r="P1275" i="13"/>
  <c r="P142" i="13"/>
  <c r="P415" i="13"/>
  <c r="P914" i="13"/>
  <c r="P918" i="13"/>
  <c r="P926" i="13"/>
  <c r="P989" i="13"/>
  <c r="P1005" i="13"/>
  <c r="P1067" i="13"/>
  <c r="P1102" i="13"/>
  <c r="P1141" i="13"/>
  <c r="P1145" i="13"/>
  <c r="P1148" i="13"/>
  <c r="P1164" i="13"/>
  <c r="P1183" i="13"/>
  <c r="P1228" i="13"/>
  <c r="P1236" i="13"/>
  <c r="P1271" i="13"/>
  <c r="P198" i="13"/>
  <c r="P196" i="13"/>
  <c r="P535" i="13"/>
  <c r="P124" i="13"/>
  <c r="P210" i="13"/>
  <c r="P404" i="13"/>
  <c r="P488" i="13"/>
  <c r="P492" i="13"/>
  <c r="P559" i="13"/>
  <c r="P637" i="13"/>
  <c r="P822" i="13"/>
  <c r="P153" i="13"/>
  <c r="P120" i="13"/>
  <c r="P219" i="13"/>
  <c r="P282" i="13"/>
  <c r="P321" i="13"/>
  <c r="P325" i="13"/>
  <c r="P328" i="13"/>
  <c r="P401" i="13"/>
  <c r="P672" i="13"/>
  <c r="P742" i="13"/>
  <c r="P746" i="13"/>
  <c r="P892" i="13"/>
  <c r="P990" i="13"/>
  <c r="P998" i="13"/>
  <c r="P1060" i="13"/>
  <c r="P1173" i="13"/>
  <c r="P1249" i="13"/>
  <c r="P137" i="13"/>
  <c r="P1002" i="13"/>
  <c r="O864" i="13"/>
  <c r="P658" i="13"/>
  <c r="P665" i="13"/>
  <c r="P885" i="13"/>
  <c r="P1011" i="13"/>
  <c r="P584" i="13"/>
  <c r="P1159" i="13"/>
  <c r="L90" i="2"/>
  <c r="P982" i="13"/>
  <c r="E48" i="11"/>
  <c r="E62" i="11"/>
  <c r="E51" i="11"/>
  <c r="E64" i="11"/>
  <c r="E66" i="11" s="1"/>
  <c r="E53" i="11"/>
  <c r="E55" i="11"/>
  <c r="I25" i="48" l="1"/>
  <c r="G24" i="48"/>
  <c r="I24" i="48" s="1"/>
  <c r="F22" i="48"/>
  <c r="J117" i="2"/>
  <c r="J176" i="2"/>
  <c r="L176" i="2" s="1"/>
  <c r="J115" i="2"/>
  <c r="L115" i="2" s="1"/>
  <c r="J175" i="2"/>
  <c r="L175" i="2" s="1"/>
  <c r="J164" i="2"/>
  <c r="L164" i="2" s="1"/>
  <c r="J85" i="2"/>
  <c r="L85" i="2" s="1"/>
  <c r="J72" i="2"/>
  <c r="L72" i="2" s="1"/>
  <c r="J159" i="2"/>
  <c r="L159" i="2" s="1"/>
  <c r="J110" i="2"/>
  <c r="L110" i="2" s="1"/>
  <c r="J73" i="2"/>
  <c r="L73" i="2" s="1"/>
  <c r="J181" i="2"/>
  <c r="L181" i="2" s="1"/>
  <c r="J86" i="2"/>
  <c r="L86" i="2" s="1"/>
  <c r="J74" i="2"/>
  <c r="L74" i="2" s="1"/>
  <c r="J84" i="2"/>
  <c r="L84" i="2" s="1"/>
  <c r="H257" i="2"/>
  <c r="E77" i="41"/>
  <c r="E79" i="41" s="1"/>
  <c r="E80" i="41" s="1"/>
  <c r="E51" i="41" s="1"/>
  <c r="E56" i="41" s="1"/>
  <c r="H255" i="2"/>
  <c r="H256" i="2"/>
  <c r="F38" i="20"/>
  <c r="E38" i="13"/>
  <c r="E72" i="11"/>
  <c r="E82" i="11" s="1"/>
  <c r="G200" i="2"/>
  <c r="L201" i="2"/>
  <c r="G201" i="2"/>
  <c r="G62" i="11"/>
  <c r="G51" i="11"/>
  <c r="G113" i="2"/>
  <c r="J76" i="2"/>
  <c r="G186" i="2"/>
  <c r="H25" i="47"/>
  <c r="F26" i="47"/>
  <c r="J69" i="2"/>
  <c r="L69" i="2" s="1"/>
  <c r="L75" i="2" s="1"/>
  <c r="J75" i="2" s="1"/>
  <c r="K72" i="11"/>
  <c r="K74" i="11" s="1"/>
  <c r="K76" i="11" s="1"/>
  <c r="L44" i="2"/>
  <c r="L48" i="2" s="1"/>
  <c r="J31" i="6"/>
  <c r="G117" i="2" s="1"/>
  <c r="H75" i="13"/>
  <c r="F25" i="49"/>
  <c r="D33" i="2"/>
  <c r="E31" i="2"/>
  <c r="B31" i="2"/>
  <c r="B33" i="2" s="1"/>
  <c r="B34" i="2" s="1"/>
  <c r="J162" i="2"/>
  <c r="L162" i="2" s="1"/>
  <c r="J149" i="2"/>
  <c r="L149" i="2" s="1"/>
  <c r="O262" i="13"/>
  <c r="J174" i="2"/>
  <c r="L174" i="2" s="1"/>
  <c r="J81" i="2"/>
  <c r="L81" i="2" s="1"/>
  <c r="D34" i="5"/>
  <c r="A196" i="38"/>
  <c r="A198" i="38" s="1"/>
  <c r="A200" i="38" s="1"/>
  <c r="A202" i="38" s="1"/>
  <c r="A203" i="38" s="1"/>
  <c r="A204" i="38" s="1"/>
  <c r="A205" i="38" s="1"/>
  <c r="A206" i="38" s="1"/>
  <c r="A207" i="38" s="1"/>
  <c r="D52" i="5" s="1"/>
  <c r="F23" i="32"/>
  <c r="C218" i="13"/>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N176" i="13"/>
  <c r="O176" i="13" s="1"/>
  <c r="M176" i="13"/>
  <c r="P1050" i="13"/>
  <c r="P1135" i="13"/>
  <c r="E185" i="2"/>
  <c r="E184" i="2"/>
  <c r="A48" i="11"/>
  <c r="E181" i="2"/>
  <c r="A36" i="9"/>
  <c r="A37" i="9" s="1"/>
  <c r="A38" i="9" s="1"/>
  <c r="A39" i="9" s="1"/>
  <c r="A40" i="9" s="1"/>
  <c r="A41" i="9" s="1"/>
  <c r="E146" i="2"/>
  <c r="S27" i="21"/>
  <c r="O33" i="21"/>
  <c r="G209" i="2" s="1"/>
  <c r="N90" i="13"/>
  <c r="M90" i="13"/>
  <c r="P963" i="13"/>
  <c r="D22" i="49"/>
  <c r="D23" i="49" s="1"/>
  <c r="H21" i="49"/>
  <c r="C194" i="38"/>
  <c r="G113" i="38"/>
  <c r="G194" i="38" s="1"/>
  <c r="G41" i="39"/>
  <c r="G92" i="2"/>
  <c r="G75" i="2"/>
  <c r="O606" i="13"/>
  <c r="E20" i="2"/>
  <c r="E95" i="41"/>
  <c r="A18" i="5"/>
  <c r="A19" i="5" s="1"/>
  <c r="A20" i="5" s="1"/>
  <c r="A23" i="5" s="1"/>
  <c r="A25" i="5" s="1"/>
  <c r="A29" i="35"/>
  <c r="A30" i="35" s="1"/>
  <c r="A31" i="35" s="1"/>
  <c r="A32" i="35" s="1"/>
  <c r="A33" i="35" s="1"/>
  <c r="A34" i="35" s="1"/>
  <c r="A35" i="35" s="1"/>
  <c r="A36" i="35" s="1"/>
  <c r="A37" i="35" s="1"/>
  <c r="A38" i="35" s="1"/>
  <c r="A39" i="35" s="1"/>
  <c r="A40" i="35" s="1"/>
  <c r="A41" i="35" s="1"/>
  <c r="A42" i="35" s="1"/>
  <c r="E71" i="2"/>
  <c r="E69" i="2"/>
  <c r="E70" i="2"/>
  <c r="E73" i="2"/>
  <c r="E67" i="2"/>
  <c r="E94" i="41"/>
  <c r="C103" i="41"/>
  <c r="C105" i="41" s="1"/>
  <c r="E248" i="2"/>
  <c r="E249" i="2"/>
  <c r="A29" i="41"/>
  <c r="A30" i="41" s="1"/>
  <c r="A31" i="41" s="1"/>
  <c r="A32" i="41" s="1"/>
  <c r="A33" i="41" s="1"/>
  <c r="A34" i="41" s="1"/>
  <c r="A35" i="41" s="1"/>
  <c r="A36" i="41" s="1"/>
  <c r="A37" i="41" s="1"/>
  <c r="A38" i="41" s="1"/>
  <c r="A39" i="41" s="1"/>
  <c r="A40" i="41" s="1"/>
  <c r="A41" i="41" s="1"/>
  <c r="A42" i="41" s="1"/>
  <c r="E51" i="5"/>
  <c r="I49" i="5"/>
  <c r="I51" i="5" s="1"/>
  <c r="G103" i="2" s="1"/>
  <c r="A28" i="48"/>
  <c r="A37" i="48" s="1"/>
  <c r="D22" i="32"/>
  <c r="D23" i="32" s="1"/>
  <c r="D24" i="32" s="1"/>
  <c r="D25" i="32" s="1"/>
  <c r="D26" i="32" s="1"/>
  <c r="D27" i="32" s="1"/>
  <c r="D28" i="32" s="1"/>
  <c r="D29" i="32" s="1"/>
  <c r="D30" i="32" s="1"/>
  <c r="D31" i="32" s="1"/>
  <c r="D32" i="32" s="1"/>
  <c r="H21" i="32"/>
  <c r="M348" i="13"/>
  <c r="O348" i="13" s="1"/>
  <c r="I23" i="48"/>
  <c r="I187" i="38"/>
  <c r="I193" i="38" s="1"/>
  <c r="G115" i="38"/>
  <c r="G84" i="39"/>
  <c r="G40" i="39"/>
  <c r="E43" i="5"/>
  <c r="E41" i="5"/>
  <c r="C89" i="41"/>
  <c r="E89" i="41" s="1"/>
  <c r="E104" i="41" s="1"/>
  <c r="E88" i="41"/>
  <c r="E103" i="41" s="1"/>
  <c r="G122" i="38"/>
  <c r="G126" i="38"/>
  <c r="H239" i="2"/>
  <c r="P146" i="13"/>
  <c r="P136" i="13"/>
  <c r="P130" i="13"/>
  <c r="P121" i="13"/>
  <c r="D207" i="38"/>
  <c r="E70" i="9"/>
  <c r="G151" i="38"/>
  <c r="G35" i="5"/>
  <c r="G33" i="5"/>
  <c r="G43" i="5"/>
  <c r="G41" i="5"/>
  <c r="G165" i="2"/>
  <c r="G167" i="2" s="1"/>
  <c r="G169" i="2" s="1"/>
  <c r="P369" i="13"/>
  <c r="P376" i="13"/>
  <c r="I194" i="38"/>
  <c r="C116" i="39"/>
  <c r="S17" i="21"/>
  <c r="S33" i="21" s="1"/>
  <c r="L209" i="2" s="1"/>
  <c r="E117" i="30"/>
  <c r="E17" i="5"/>
  <c r="E19" i="5"/>
  <c r="G145" i="38"/>
  <c r="E25" i="5"/>
  <c r="E28" i="5" s="1"/>
  <c r="E27" i="5"/>
  <c r="E61" i="9"/>
  <c r="G17" i="5"/>
  <c r="G19" i="5"/>
  <c r="I19" i="5" s="1"/>
  <c r="G94" i="39"/>
  <c r="G25" i="5"/>
  <c r="E33" i="5"/>
  <c r="E36" i="5" s="1"/>
  <c r="E35" i="5"/>
  <c r="P561" i="13"/>
  <c r="P573" i="13"/>
  <c r="G27" i="5"/>
  <c r="I27" i="5" s="1"/>
  <c r="D194" i="38"/>
  <c r="K116" i="39"/>
  <c r="P239" i="13"/>
  <c r="P317" i="13"/>
  <c r="P228" i="13"/>
  <c r="P398" i="13"/>
  <c r="P466" i="13"/>
  <c r="P494" i="13"/>
  <c r="P884" i="13"/>
  <c r="P759" i="13"/>
  <c r="P912" i="13"/>
  <c r="P934" i="13"/>
  <c r="P973" i="13"/>
  <c r="P987" i="13"/>
  <c r="P1015" i="13"/>
  <c r="E74" i="38"/>
  <c r="E77" i="38" s="1"/>
  <c r="P676" i="13"/>
  <c r="P763" i="13"/>
  <c r="P833" i="13"/>
  <c r="P840" i="13"/>
  <c r="P845" i="13"/>
  <c r="P889" i="13"/>
  <c r="P905" i="13"/>
  <c r="P1053" i="13"/>
  <c r="P1072" i="13"/>
  <c r="P1165" i="13"/>
  <c r="P1231" i="13"/>
  <c r="P1260" i="13"/>
  <c r="G68" i="38"/>
  <c r="P897" i="13"/>
  <c r="P970" i="13"/>
  <c r="P980" i="13"/>
  <c r="P1008" i="13"/>
  <c r="P1010" i="13"/>
  <c r="P1104" i="13"/>
  <c r="P1143" i="13"/>
  <c r="P1178" i="13"/>
  <c r="P1224" i="13"/>
  <c r="P1246" i="13"/>
  <c r="P1257" i="13"/>
  <c r="G95" i="39"/>
  <c r="P908" i="13"/>
  <c r="P977" i="13"/>
  <c r="P986" i="13"/>
  <c r="P1138" i="13"/>
  <c r="P1261" i="13"/>
  <c r="J118" i="2" l="1"/>
  <c r="L118" i="2" s="1"/>
  <c r="J116" i="2"/>
  <c r="L116" i="2" s="1"/>
  <c r="J160" i="2"/>
  <c r="L160" i="2" s="1"/>
  <c r="J185" i="2"/>
  <c r="L185" i="2" s="1"/>
  <c r="J199" i="2"/>
  <c r="L199" i="2" s="1"/>
  <c r="I17" i="5"/>
  <c r="G20" i="5"/>
  <c r="G36" i="5"/>
  <c r="I33" i="5"/>
  <c r="E105" i="41"/>
  <c r="L246" i="2"/>
  <c r="A48" i="41"/>
  <c r="A49" i="41" s="1"/>
  <c r="D28" i="5"/>
  <c r="A26" i="5"/>
  <c r="A27" i="5" s="1"/>
  <c r="A28" i="5" s="1"/>
  <c r="A31" i="5" s="1"/>
  <c r="A33" i="5" s="1"/>
  <c r="A50" i="11"/>
  <c r="A51" i="11" s="1"/>
  <c r="F26" i="49"/>
  <c r="F27" i="47"/>
  <c r="H26" i="47"/>
  <c r="K26" i="47" s="1"/>
  <c r="G64" i="11"/>
  <c r="D22" i="13"/>
  <c r="F22" i="13" s="1"/>
  <c r="D22" i="20"/>
  <c r="F22" i="20" s="1"/>
  <c r="I256" i="2"/>
  <c r="L256" i="2" s="1"/>
  <c r="I25" i="5"/>
  <c r="G28" i="5"/>
  <c r="I35" i="5"/>
  <c r="G115" i="39"/>
  <c r="A39" i="48"/>
  <c r="A41" i="48" s="1"/>
  <c r="C104" i="41"/>
  <c r="N21" i="13"/>
  <c r="H22" i="49"/>
  <c r="K22" i="49" s="1"/>
  <c r="D36" i="2"/>
  <c r="B36" i="2"/>
  <c r="B37" i="2" s="1"/>
  <c r="C70" i="20"/>
  <c r="C70" i="13"/>
  <c r="K78" i="11"/>
  <c r="K79" i="11"/>
  <c r="K25" i="47"/>
  <c r="L91" i="2"/>
  <c r="G121" i="2"/>
  <c r="G187" i="38"/>
  <c r="G193" i="38" s="1"/>
  <c r="D21" i="20"/>
  <c r="D21" i="13"/>
  <c r="L94" i="2"/>
  <c r="L117" i="2"/>
  <c r="E20" i="5"/>
  <c r="G44" i="5"/>
  <c r="I41" i="5"/>
  <c r="E82" i="2"/>
  <c r="E81" i="2"/>
  <c r="E79" i="2"/>
  <c r="E83" i="2"/>
  <c r="E84" i="2"/>
  <c r="E78" i="2"/>
  <c r="E80" i="2"/>
  <c r="A49" i="35"/>
  <c r="A50" i="35" s="1"/>
  <c r="A51" i="35" s="1"/>
  <c r="A52" i="35" s="1"/>
  <c r="A53" i="35" s="1"/>
  <c r="A54" i="35" s="1"/>
  <c r="A55" i="35" s="1"/>
  <c r="A56" i="35" s="1"/>
  <c r="A57" i="35" s="1"/>
  <c r="A58" i="35" s="1"/>
  <c r="A59" i="35" s="1"/>
  <c r="A60" i="35" s="1"/>
  <c r="A61" i="35" s="1"/>
  <c r="A62" i="35" s="1"/>
  <c r="E86" i="2"/>
  <c r="E85" i="2"/>
  <c r="I48" i="11"/>
  <c r="G95" i="2"/>
  <c r="K21" i="49"/>
  <c r="O90" i="13"/>
  <c r="O21" i="13"/>
  <c r="P21" i="13" s="1"/>
  <c r="A44" i="9"/>
  <c r="A45" i="9" s="1"/>
  <c r="A46" i="9" s="1"/>
  <c r="A47" i="9" s="1"/>
  <c r="A48" i="9" s="1"/>
  <c r="A49" i="9" s="1"/>
  <c r="A50" i="9" s="1"/>
  <c r="A51" i="9" s="1"/>
  <c r="A52" i="9" s="1"/>
  <c r="A53" i="9" s="1"/>
  <c r="A54" i="9" s="1"/>
  <c r="A55" i="9" s="1"/>
  <c r="A56" i="9" s="1"/>
  <c r="A57" i="9" s="1"/>
  <c r="A58" i="9" s="1"/>
  <c r="A59" i="9" s="1"/>
  <c r="A61" i="9" s="1"/>
  <c r="E161" i="2"/>
  <c r="H22" i="32"/>
  <c r="K22" i="32" s="1"/>
  <c r="L87" i="2"/>
  <c r="L113" i="2"/>
  <c r="L121" i="2" s="1"/>
  <c r="K82" i="11"/>
  <c r="G72" i="11"/>
  <c r="G74" i="11" s="1"/>
  <c r="G76" i="11" s="1"/>
  <c r="E74" i="11"/>
  <c r="L245" i="2"/>
  <c r="E58" i="41"/>
  <c r="J255" i="2" s="1"/>
  <c r="L165" i="2"/>
  <c r="L167" i="2" s="1"/>
  <c r="L169" i="2" s="1"/>
  <c r="G22" i="48"/>
  <c r="H22" i="48"/>
  <c r="H28" i="48" s="1"/>
  <c r="G74" i="38"/>
  <c r="G77" i="38" s="1"/>
  <c r="I43" i="5"/>
  <c r="E44" i="5"/>
  <c r="K21" i="32"/>
  <c r="D20" i="5"/>
  <c r="D24" i="49"/>
  <c r="H23" i="49"/>
  <c r="K23" i="49" s="1"/>
  <c r="H23" i="32"/>
  <c r="K23" i="32" s="1"/>
  <c r="F24" i="32"/>
  <c r="F59" i="13"/>
  <c r="G76" i="20"/>
  <c r="G77" i="20" s="1"/>
  <c r="G78" i="20" s="1"/>
  <c r="G79" i="20" s="1"/>
  <c r="L177" i="2"/>
  <c r="G59" i="20"/>
  <c r="H76" i="13"/>
  <c r="H77" i="13" s="1"/>
  <c r="H78" i="13" s="1"/>
  <c r="H79" i="13" s="1"/>
  <c r="G53" i="11"/>
  <c r="F39" i="20"/>
  <c r="E39" i="13"/>
  <c r="I257" i="2"/>
  <c r="L257" i="2" s="1"/>
  <c r="D23" i="13"/>
  <c r="F23" i="13" s="1"/>
  <c r="D23" i="20"/>
  <c r="F23" i="20" s="1"/>
  <c r="I255" i="2"/>
  <c r="L255" i="2" s="1"/>
  <c r="L93" i="2"/>
  <c r="G55" i="11" l="1"/>
  <c r="A43" i="48"/>
  <c r="E154" i="2"/>
  <c r="H27" i="47"/>
  <c r="F28" i="47"/>
  <c r="L258" i="2"/>
  <c r="G190" i="2"/>
  <c r="D528" i="13"/>
  <c r="J529" i="13" s="1"/>
  <c r="E532" i="13" s="1"/>
  <c r="D270" i="13"/>
  <c r="J271" i="13" s="1"/>
  <c r="E274" i="13" s="1"/>
  <c r="D786" i="13"/>
  <c r="J787" i="13" s="1"/>
  <c r="E790" i="13" s="1"/>
  <c r="D872" i="13"/>
  <c r="J873" i="13" s="1"/>
  <c r="E876" i="13" s="1"/>
  <c r="D442" i="13"/>
  <c r="J443" i="13" s="1"/>
  <c r="E446" i="13" s="1"/>
  <c r="D614" i="13"/>
  <c r="J615" i="13" s="1"/>
  <c r="E618" i="13" s="1"/>
  <c r="D1044" i="13"/>
  <c r="J1045" i="13" s="1"/>
  <c r="E1048" i="13" s="1"/>
  <c r="D184" i="13"/>
  <c r="J185" i="13" s="1"/>
  <c r="E188" i="13" s="1"/>
  <c r="D1217" i="13"/>
  <c r="J1218" i="13" s="1"/>
  <c r="E1221" i="13" s="1"/>
  <c r="D958" i="13"/>
  <c r="J959" i="13" s="1"/>
  <c r="E962" i="13" s="1"/>
  <c r="D1130" i="13"/>
  <c r="J1131" i="13" s="1"/>
  <c r="E1134" i="13" s="1"/>
  <c r="D356" i="13"/>
  <c r="J357" i="13" s="1"/>
  <c r="E360" i="13" s="1"/>
  <c r="D700" i="13"/>
  <c r="J701" i="13" s="1"/>
  <c r="E704" i="13" s="1"/>
  <c r="D98" i="13"/>
  <c r="J99" i="13" s="1"/>
  <c r="E102" i="13" s="1"/>
  <c r="D25" i="49"/>
  <c r="H24" i="49"/>
  <c r="K24" i="49" s="1"/>
  <c r="I22" i="48"/>
  <c r="I28" i="48" s="1"/>
  <c r="G28" i="48"/>
  <c r="E76" i="11"/>
  <c r="E153" i="2"/>
  <c r="G100" i="2"/>
  <c r="I28" i="5"/>
  <c r="L100" i="2" s="1"/>
  <c r="F27" i="49"/>
  <c r="I36" i="5"/>
  <c r="L101" i="2" s="1"/>
  <c r="G101" i="2"/>
  <c r="G99" i="2"/>
  <c r="I20" i="5"/>
  <c r="L99" i="2" s="1"/>
  <c r="D366" i="20"/>
  <c r="I367" i="20" s="1"/>
  <c r="E370" i="20" s="1"/>
  <c r="D989" i="20"/>
  <c r="I990" i="20" s="1"/>
  <c r="E993" i="20" s="1"/>
  <c r="D188" i="20"/>
  <c r="I189" i="20" s="1"/>
  <c r="E192" i="20" s="1"/>
  <c r="D98" i="20"/>
  <c r="I99" i="20" s="1"/>
  <c r="E102" i="20" s="1"/>
  <c r="D544" i="20"/>
  <c r="I545" i="20" s="1"/>
  <c r="E548" i="20" s="1"/>
  <c r="D900" i="20"/>
  <c r="I901" i="20" s="1"/>
  <c r="E904" i="20" s="1"/>
  <c r="D1078" i="20"/>
  <c r="I1079" i="20" s="1"/>
  <c r="E1082" i="20" s="1"/>
  <c r="D277" i="20"/>
  <c r="I278" i="20" s="1"/>
  <c r="E281" i="20" s="1"/>
  <c r="D1167" i="20"/>
  <c r="I1168" i="20" s="1"/>
  <c r="E1171" i="20" s="1"/>
  <c r="D722" i="20"/>
  <c r="I723" i="20" s="1"/>
  <c r="E726" i="20" s="1"/>
  <c r="D633" i="20"/>
  <c r="I634" i="20" s="1"/>
  <c r="E637" i="20" s="1"/>
  <c r="D811" i="20"/>
  <c r="I812" i="20" s="1"/>
  <c r="E815" i="20" s="1"/>
  <c r="D455" i="20"/>
  <c r="I456" i="20" s="1"/>
  <c r="E459" i="20" s="1"/>
  <c r="I51" i="11"/>
  <c r="I62" i="11"/>
  <c r="M48" i="11"/>
  <c r="G64" i="20"/>
  <c r="F64" i="13"/>
  <c r="L95" i="2"/>
  <c r="J95" i="2" s="1"/>
  <c r="G82" i="11" s="1"/>
  <c r="F25" i="32"/>
  <c r="H24" i="32"/>
  <c r="K24" i="32" s="1"/>
  <c r="E162" i="2"/>
  <c r="A64" i="9"/>
  <c r="A65" i="9" s="1"/>
  <c r="A66" i="9" s="1"/>
  <c r="A67" i="9" s="1"/>
  <c r="A68" i="9" s="1"/>
  <c r="A70" i="9" s="1"/>
  <c r="E163" i="2" s="1"/>
  <c r="B39" i="2"/>
  <c r="B42" i="2" s="1"/>
  <c r="B44" i="2" s="1"/>
  <c r="B24" i="2"/>
  <c r="G66" i="11"/>
  <c r="C51" i="11"/>
  <c r="B56" i="41"/>
  <c r="A50" i="41"/>
  <c r="A51" i="41" s="1"/>
  <c r="A52" i="41" s="1"/>
  <c r="A53" i="41" s="1"/>
  <c r="A54" i="41" s="1"/>
  <c r="A55" i="41" s="1"/>
  <c r="A56" i="41" s="1"/>
  <c r="E37" i="13"/>
  <c r="F37" i="20"/>
  <c r="E21" i="13"/>
  <c r="F21" i="13" s="1"/>
  <c r="F24" i="13" s="1"/>
  <c r="E29" i="13" s="1"/>
  <c r="E21" i="20"/>
  <c r="F21" i="20" s="1"/>
  <c r="F24" i="20" s="1"/>
  <c r="F29" i="20" s="1"/>
  <c r="D227" i="2"/>
  <c r="D228" i="2"/>
  <c r="I44" i="5"/>
  <c r="L102" i="2" s="1"/>
  <c r="G102" i="2"/>
  <c r="B43" i="48"/>
  <c r="C53" i="11"/>
  <c r="A52" i="11"/>
  <c r="A53" i="11" s="1"/>
  <c r="A34" i="5"/>
  <c r="A35" i="5" s="1"/>
  <c r="A36" i="5" s="1"/>
  <c r="A39" i="5" s="1"/>
  <c r="A41" i="5" s="1"/>
  <c r="D36" i="5"/>
  <c r="B45" i="2" l="1"/>
  <c r="I64" i="11"/>
  <c r="M62" i="11"/>
  <c r="F459" i="20"/>
  <c r="D460" i="20" s="1"/>
  <c r="F1171" i="20"/>
  <c r="D1172" i="20" s="1"/>
  <c r="F548" i="20"/>
  <c r="D549" i="20" s="1"/>
  <c r="F370" i="20"/>
  <c r="D371" i="20" s="1"/>
  <c r="F360" i="13"/>
  <c r="F188" i="13"/>
  <c r="F876" i="13"/>
  <c r="G211" i="2"/>
  <c r="E35" i="13"/>
  <c r="F35" i="20"/>
  <c r="L211" i="2"/>
  <c r="A42" i="5"/>
  <c r="A43" i="5" s="1"/>
  <c r="A44" i="5" s="1"/>
  <c r="A47" i="5" s="1"/>
  <c r="A49" i="5" s="1"/>
  <c r="I53" i="11"/>
  <c r="M51" i="11"/>
  <c r="F815" i="20"/>
  <c r="D816" i="20" s="1"/>
  <c r="F281" i="20"/>
  <c r="D282" i="20" s="1"/>
  <c r="F102" i="20"/>
  <c r="D103" i="20" s="1"/>
  <c r="L104" i="2"/>
  <c r="L125" i="2" s="1"/>
  <c r="D26" i="49"/>
  <c r="H25" i="49"/>
  <c r="K25" i="49" s="1"/>
  <c r="F1134" i="13"/>
  <c r="F1048" i="13"/>
  <c r="F790" i="13"/>
  <c r="L205" i="2"/>
  <c r="B47" i="48"/>
  <c r="A45" i="48"/>
  <c r="E245" i="2"/>
  <c r="B58" i="41"/>
  <c r="A58" i="41"/>
  <c r="A54" i="11"/>
  <c r="A55" i="11" s="1"/>
  <c r="F26" i="32"/>
  <c r="H25" i="32"/>
  <c r="K25" i="32" s="1"/>
  <c r="F637" i="20"/>
  <c r="D638" i="20" s="1"/>
  <c r="F1082" i="20"/>
  <c r="D1083" i="20" s="1"/>
  <c r="F192" i="20"/>
  <c r="D193" i="20" s="1"/>
  <c r="G104" i="2"/>
  <c r="G125" i="2" s="1"/>
  <c r="G205" i="2" s="1"/>
  <c r="F28" i="49"/>
  <c r="F102" i="13"/>
  <c r="F962" i="13"/>
  <c r="F618" i="13"/>
  <c r="F274" i="13"/>
  <c r="F29" i="47"/>
  <c r="H28" i="47"/>
  <c r="K28" i="47" s="1"/>
  <c r="I72" i="11"/>
  <c r="F726" i="20"/>
  <c r="D727" i="20" s="1"/>
  <c r="F904" i="20"/>
  <c r="D905" i="20" s="1"/>
  <c r="F993" i="20"/>
  <c r="D994" i="20" s="1"/>
  <c r="F704" i="13"/>
  <c r="F1221" i="13"/>
  <c r="F446" i="13"/>
  <c r="F532" i="13"/>
  <c r="K27" i="47"/>
  <c r="G198" i="2" l="1"/>
  <c r="G203" i="2" s="1"/>
  <c r="G213" i="2" s="1"/>
  <c r="A61" i="41"/>
  <c r="D255" i="2"/>
  <c r="D1135" i="13"/>
  <c r="G1134" i="13"/>
  <c r="D877" i="13"/>
  <c r="G876" i="13"/>
  <c r="E371" i="20"/>
  <c r="E994" i="20"/>
  <c r="F994" i="20"/>
  <c r="D995" i="20" s="1"/>
  <c r="E727" i="20"/>
  <c r="F727" i="20"/>
  <c r="D728" i="20" s="1"/>
  <c r="F27" i="32"/>
  <c r="H26" i="32"/>
  <c r="K26" i="32" s="1"/>
  <c r="G49" i="20"/>
  <c r="F49" i="13"/>
  <c r="L198" i="2"/>
  <c r="L203" i="2" s="1"/>
  <c r="E103" i="20"/>
  <c r="F103" i="20" s="1"/>
  <c r="D104" i="20" s="1"/>
  <c r="E816" i="20"/>
  <c r="F816" i="20"/>
  <c r="D817" i="20" s="1"/>
  <c r="D44" i="5"/>
  <c r="B46" i="2"/>
  <c r="B48" i="2" s="1"/>
  <c r="B66" i="2" s="1"/>
  <c r="H29" i="47"/>
  <c r="F30" i="47"/>
  <c r="G790" i="13"/>
  <c r="D791" i="13"/>
  <c r="F1172" i="20"/>
  <c r="D1173" i="20" s="1"/>
  <c r="E1172" i="20"/>
  <c r="G532" i="13"/>
  <c r="D533" i="13"/>
  <c r="I74" i="11"/>
  <c r="M72" i="11"/>
  <c r="D963" i="13"/>
  <c r="G962" i="13"/>
  <c r="F29" i="49"/>
  <c r="F193" i="20"/>
  <c r="D194" i="20" s="1"/>
  <c r="E193" i="20"/>
  <c r="C56" i="11"/>
  <c r="A56" i="11"/>
  <c r="G1048" i="13"/>
  <c r="D1049" i="13"/>
  <c r="D27" i="49"/>
  <c r="H26" i="49"/>
  <c r="G188" i="13"/>
  <c r="D189" i="13"/>
  <c r="E549" i="20"/>
  <c r="F549" i="20" s="1"/>
  <c r="D550" i="20" s="1"/>
  <c r="E460" i="20"/>
  <c r="E48" i="2"/>
  <c r="D619" i="13"/>
  <c r="G618" i="13"/>
  <c r="D103" i="13"/>
  <c r="G102" i="13"/>
  <c r="E1083" i="20"/>
  <c r="F1083" i="20" s="1"/>
  <c r="D1084" i="20" s="1"/>
  <c r="A50" i="5"/>
  <c r="A51" i="5" s="1"/>
  <c r="A52" i="5" s="1"/>
  <c r="G360" i="13"/>
  <c r="D361" i="13"/>
  <c r="I66" i="11"/>
  <c r="M64" i="11"/>
  <c r="G1221" i="13"/>
  <c r="D1222" i="13"/>
  <c r="G274" i="13"/>
  <c r="D275" i="13"/>
  <c r="E638" i="20"/>
  <c r="F638" i="20" s="1"/>
  <c r="D639" i="20" s="1"/>
  <c r="D447" i="13"/>
  <c r="G446" i="13"/>
  <c r="G704" i="13"/>
  <c r="D705" i="13"/>
  <c r="E905" i="20"/>
  <c r="I82" i="11"/>
  <c r="C55" i="11"/>
  <c r="E155" i="2"/>
  <c r="A47" i="48"/>
  <c r="C21" i="48" s="1"/>
  <c r="F28" i="20"/>
  <c r="F30" i="20" s="1"/>
  <c r="E28" i="13"/>
  <c r="E30" i="13" s="1"/>
  <c r="F282" i="20"/>
  <c r="D283" i="20" s="1"/>
  <c r="E282" i="20"/>
  <c r="I55" i="11"/>
  <c r="M53" i="11"/>
  <c r="E550" i="20" l="1"/>
  <c r="F550" i="20"/>
  <c r="D551" i="20" s="1"/>
  <c r="E104" i="20"/>
  <c r="F104" i="20"/>
  <c r="D105" i="20" s="1"/>
  <c r="E639" i="20"/>
  <c r="F639" i="20"/>
  <c r="D640" i="20" s="1"/>
  <c r="E1084" i="20"/>
  <c r="F1084" i="20"/>
  <c r="D1085" i="20" s="1"/>
  <c r="E283" i="20"/>
  <c r="F283" i="20"/>
  <c r="D284" i="20" s="1"/>
  <c r="F447" i="13"/>
  <c r="D448" i="13" s="1"/>
  <c r="E447" i="13"/>
  <c r="E275" i="13"/>
  <c r="D51" i="5"/>
  <c r="D28" i="49"/>
  <c r="H27" i="49"/>
  <c r="K27" i="49" s="1"/>
  <c r="C57" i="11"/>
  <c r="A57" i="11"/>
  <c r="H30" i="47"/>
  <c r="K30" i="47" s="1"/>
  <c r="F31" i="47"/>
  <c r="H27" i="32"/>
  <c r="K27" i="32" s="1"/>
  <c r="F28" i="32"/>
  <c r="E877" i="13"/>
  <c r="F877" i="13" s="1"/>
  <c r="D63" i="41"/>
  <c r="A64" i="41"/>
  <c r="E34" i="13"/>
  <c r="E36" i="13" s="1"/>
  <c r="E40" i="13" s="1"/>
  <c r="F57" i="13" s="1"/>
  <c r="F56" i="13"/>
  <c r="F30" i="49"/>
  <c r="I76" i="11"/>
  <c r="M74" i="11"/>
  <c r="E1173" i="20"/>
  <c r="F1173" i="20" s="1"/>
  <c r="D1174" i="20" s="1"/>
  <c r="K29" i="47"/>
  <c r="E817" i="20"/>
  <c r="F817" i="20" s="1"/>
  <c r="D818" i="20" s="1"/>
  <c r="E728" i="20"/>
  <c r="F728" i="20" s="1"/>
  <c r="D729" i="20" s="1"/>
  <c r="E103" i="13"/>
  <c r="E189" i="13"/>
  <c r="F189" i="13"/>
  <c r="D190" i="13" s="1"/>
  <c r="G1049" i="13"/>
  <c r="E1049" i="13"/>
  <c r="F1049" i="13"/>
  <c r="D1050" i="13" s="1"/>
  <c r="I56" i="11"/>
  <c r="I57" i="11" s="1"/>
  <c r="I58" i="11" s="1"/>
  <c r="G56" i="11"/>
  <c r="G57" i="11" s="1"/>
  <c r="G58" i="11" s="1"/>
  <c r="E56" i="11"/>
  <c r="E57" i="11" s="1"/>
  <c r="G56" i="20"/>
  <c r="F34" i="20"/>
  <c r="F36" i="20" s="1"/>
  <c r="F40" i="20" s="1"/>
  <c r="G57" i="20" s="1"/>
  <c r="E1222" i="13"/>
  <c r="F1222" i="13" s="1"/>
  <c r="E361" i="13"/>
  <c r="F460" i="20"/>
  <c r="D461" i="20" s="1"/>
  <c r="E533" i="13"/>
  <c r="F533" i="13" s="1"/>
  <c r="E791" i="13"/>
  <c r="D302" i="2"/>
  <c r="G50" i="20"/>
  <c r="F50" i="13"/>
  <c r="F371" i="20"/>
  <c r="D372" i="20" s="1"/>
  <c r="E1135" i="13"/>
  <c r="F1135" i="13" s="1"/>
  <c r="E705" i="13"/>
  <c r="I67" i="11"/>
  <c r="I68" i="11" s="1"/>
  <c r="I69" i="11" s="1"/>
  <c r="G67" i="11"/>
  <c r="G68" i="11" s="1"/>
  <c r="G69" i="11" s="1"/>
  <c r="E67" i="11"/>
  <c r="E68" i="11" s="1"/>
  <c r="F905" i="20"/>
  <c r="D906" i="20" s="1"/>
  <c r="E619" i="13"/>
  <c r="K26" i="49"/>
  <c r="E194" i="20"/>
  <c r="F194" i="20" s="1"/>
  <c r="D195" i="20" s="1"/>
  <c r="G963" i="13"/>
  <c r="E963" i="13"/>
  <c r="F963" i="13"/>
  <c r="D964" i="13" s="1"/>
  <c r="B67" i="2"/>
  <c r="B68" i="2" s="1"/>
  <c r="E995" i="20"/>
  <c r="F995" i="20"/>
  <c r="D996" i="20" s="1"/>
  <c r="E195" i="20" l="1"/>
  <c r="F195" i="20"/>
  <c r="D196" i="20" s="1"/>
  <c r="D1136" i="13"/>
  <c r="G1135" i="13"/>
  <c r="E1174" i="20"/>
  <c r="F1174" i="20"/>
  <c r="D1175" i="20" s="1"/>
  <c r="D878" i="13"/>
  <c r="G877" i="13"/>
  <c r="D1223" i="13"/>
  <c r="G1222" i="13"/>
  <c r="F729" i="20"/>
  <c r="D730" i="20" s="1"/>
  <c r="E729" i="20"/>
  <c r="D534" i="13"/>
  <c r="G533" i="13"/>
  <c r="E818" i="20"/>
  <c r="F818" i="20" s="1"/>
  <c r="D819" i="20" s="1"/>
  <c r="E996" i="20"/>
  <c r="F996" i="20"/>
  <c r="D997" i="20" s="1"/>
  <c r="E1085" i="20"/>
  <c r="F1085" i="20" s="1"/>
  <c r="D1086" i="20" s="1"/>
  <c r="M68" i="11"/>
  <c r="E69" i="11"/>
  <c r="E461" i="20"/>
  <c r="G189" i="13"/>
  <c r="H28" i="32"/>
  <c r="K28" i="32" s="1"/>
  <c r="F29" i="32"/>
  <c r="D29" i="49"/>
  <c r="H28" i="49"/>
  <c r="K28" i="49" s="1"/>
  <c r="F275" i="13"/>
  <c r="E448" i="13"/>
  <c r="F448" i="13" s="1"/>
  <c r="F791" i="13"/>
  <c r="E58" i="11"/>
  <c r="M57" i="11"/>
  <c r="E1050" i="13"/>
  <c r="F1050" i="13" s="1"/>
  <c r="E190" i="13"/>
  <c r="F190" i="13"/>
  <c r="D191" i="13" s="1"/>
  <c r="G190" i="13"/>
  <c r="I77" i="11"/>
  <c r="I78" i="11" s="1"/>
  <c r="I79" i="11"/>
  <c r="G77" i="11"/>
  <c r="G78" i="11" s="1"/>
  <c r="G79" i="11" s="1"/>
  <c r="E77" i="11"/>
  <c r="E78" i="11" s="1"/>
  <c r="E79" i="11" s="1"/>
  <c r="A58" i="11"/>
  <c r="C58" i="11"/>
  <c r="F284" i="20"/>
  <c r="D285" i="20" s="1"/>
  <c r="E284" i="20"/>
  <c r="E640" i="20"/>
  <c r="E551" i="20"/>
  <c r="F551" i="20" s="1"/>
  <c r="D552" i="20" s="1"/>
  <c r="E105" i="20"/>
  <c r="E964" i="13"/>
  <c r="F964" i="13"/>
  <c r="D965" i="13" s="1"/>
  <c r="C75" i="20"/>
  <c r="B69" i="2"/>
  <c r="B70" i="2" s="1"/>
  <c r="E226" i="2"/>
  <c r="C75" i="13"/>
  <c r="F619" i="13"/>
  <c r="E906" i="20"/>
  <c r="F906" i="20"/>
  <c r="D907" i="20" s="1"/>
  <c r="F705" i="13"/>
  <c r="E372" i="20"/>
  <c r="F372" i="20"/>
  <c r="D373" i="20" s="1"/>
  <c r="F361" i="13"/>
  <c r="F103" i="13"/>
  <c r="F31" i="49"/>
  <c r="A65" i="41"/>
  <c r="A66" i="41" s="1"/>
  <c r="A67" i="41" s="1"/>
  <c r="A68" i="41" s="1"/>
  <c r="A69" i="41" s="1"/>
  <c r="A70" i="41" s="1"/>
  <c r="A71" i="41" s="1"/>
  <c r="A72" i="41" s="1"/>
  <c r="A73" i="41" s="1"/>
  <c r="A74" i="41" s="1"/>
  <c r="F32" i="47"/>
  <c r="H31" i="47"/>
  <c r="K31" i="47" s="1"/>
  <c r="G447" i="13"/>
  <c r="D449" i="13" l="1"/>
  <c r="G448" i="13"/>
  <c r="E819" i="20"/>
  <c r="F819" i="20" s="1"/>
  <c r="D820" i="20" s="1"/>
  <c r="E1086" i="20"/>
  <c r="F1086" i="20" s="1"/>
  <c r="D1087" i="20" s="1"/>
  <c r="D1051" i="13"/>
  <c r="G1050" i="13"/>
  <c r="E552" i="20"/>
  <c r="F552" i="20"/>
  <c r="D553" i="20" s="1"/>
  <c r="E907" i="20"/>
  <c r="F907" i="20" s="1"/>
  <c r="D908" i="20" s="1"/>
  <c r="B71" i="2"/>
  <c r="B72" i="2" s="1"/>
  <c r="E965" i="13"/>
  <c r="D792" i="13"/>
  <c r="G791" i="13"/>
  <c r="E997" i="20"/>
  <c r="F997" i="20" s="1"/>
  <c r="D998" i="20" s="1"/>
  <c r="E730" i="20"/>
  <c r="F730" i="20" s="1"/>
  <c r="D731" i="20" s="1"/>
  <c r="E878" i="13"/>
  <c r="F878" i="13" s="1"/>
  <c r="F1136" i="13"/>
  <c r="D1137" i="13" s="1"/>
  <c r="G1136" i="13"/>
  <c r="E1136" i="13"/>
  <c r="E191" i="13"/>
  <c r="F191" i="13" s="1"/>
  <c r="D30" i="49"/>
  <c r="H29" i="49"/>
  <c r="K29" i="49" s="1"/>
  <c r="E1175" i="20"/>
  <c r="E196" i="20"/>
  <c r="F196" i="20" s="1"/>
  <c r="D197" i="20" s="1"/>
  <c r="D362" i="13"/>
  <c r="G361" i="13"/>
  <c r="F36" i="47"/>
  <c r="H36" i="47" s="1"/>
  <c r="H32" i="47"/>
  <c r="K32" i="47" s="1"/>
  <c r="K33" i="47" s="1"/>
  <c r="D36" i="47" s="1"/>
  <c r="F39" i="47"/>
  <c r="E373" i="20"/>
  <c r="F373" i="20"/>
  <c r="D374" i="20" s="1"/>
  <c r="D620" i="13"/>
  <c r="G619" i="13"/>
  <c r="G964" i="13"/>
  <c r="C59" i="11"/>
  <c r="A59" i="11"/>
  <c r="A61" i="11" s="1"/>
  <c r="M69" i="11"/>
  <c r="E70" i="11"/>
  <c r="G534" i="13"/>
  <c r="E534" i="13"/>
  <c r="F534" i="13"/>
  <c r="D535" i="13" s="1"/>
  <c r="G1223" i="13"/>
  <c r="F1223" i="13"/>
  <c r="D1224" i="13" s="1"/>
  <c r="E1223" i="13"/>
  <c r="A76" i="41"/>
  <c r="B50" i="41"/>
  <c r="F640" i="20"/>
  <c r="D641" i="20" s="1"/>
  <c r="F32" i="49"/>
  <c r="B76" i="41"/>
  <c r="D104" i="13"/>
  <c r="G103" i="13"/>
  <c r="D706" i="13"/>
  <c r="G705" i="13"/>
  <c r="F105" i="20"/>
  <c r="D106" i="20" s="1"/>
  <c r="E285" i="20"/>
  <c r="F285" i="20" s="1"/>
  <c r="D286" i="20" s="1"/>
  <c r="M79" i="11"/>
  <c r="E80" i="11" s="1"/>
  <c r="M58" i="11"/>
  <c r="D276" i="13"/>
  <c r="G275" i="13"/>
  <c r="F30" i="32"/>
  <c r="H29" i="32"/>
  <c r="K29" i="32" s="1"/>
  <c r="F461" i="20"/>
  <c r="D462" i="20" s="1"/>
  <c r="D879" i="13" l="1"/>
  <c r="G878" i="13"/>
  <c r="E731" i="20"/>
  <c r="F731" i="20"/>
  <c r="D732" i="20" s="1"/>
  <c r="E820" i="20"/>
  <c r="F820" i="20" s="1"/>
  <c r="D821" i="20" s="1"/>
  <c r="D192" i="13"/>
  <c r="G191" i="13"/>
  <c r="E286" i="20"/>
  <c r="F286" i="20"/>
  <c r="D287" i="20" s="1"/>
  <c r="E998" i="20"/>
  <c r="F998" i="20" s="1"/>
  <c r="D999" i="20" s="1"/>
  <c r="E197" i="20"/>
  <c r="F197" i="20"/>
  <c r="D198" i="20" s="1"/>
  <c r="E1087" i="20"/>
  <c r="F1087" i="20" s="1"/>
  <c r="D1088" i="20" s="1"/>
  <c r="E908" i="20"/>
  <c r="F908" i="20"/>
  <c r="D909" i="20" s="1"/>
  <c r="E1224" i="13"/>
  <c r="F1224" i="13" s="1"/>
  <c r="E620" i="13"/>
  <c r="F40" i="47"/>
  <c r="E362" i="13"/>
  <c r="G80" i="11"/>
  <c r="H48" i="30" s="1"/>
  <c r="I48" i="30" s="1"/>
  <c r="I46" i="30" s="1"/>
  <c r="G59" i="11"/>
  <c r="I59" i="11"/>
  <c r="E706" i="13"/>
  <c r="F706" i="13" s="1"/>
  <c r="F36" i="49"/>
  <c r="F39" i="49"/>
  <c r="A77" i="41"/>
  <c r="A78" i="41" s="1"/>
  <c r="A79" i="41" s="1"/>
  <c r="A80" i="41" s="1"/>
  <c r="K36" i="47"/>
  <c r="D39" i="47" s="1"/>
  <c r="H39" i="47" s="1"/>
  <c r="D31" i="49"/>
  <c r="H30" i="49"/>
  <c r="K30" i="49" s="1"/>
  <c r="I80" i="11"/>
  <c r="F1137" i="13"/>
  <c r="D1138" i="13" s="1"/>
  <c r="E1137" i="13"/>
  <c r="E1051" i="13"/>
  <c r="F1051" i="13" s="1"/>
  <c r="F31" i="32"/>
  <c r="H30" i="32"/>
  <c r="K30" i="32" s="1"/>
  <c r="F462" i="20"/>
  <c r="D463" i="20" s="1"/>
  <c r="E462" i="20"/>
  <c r="F106" i="20"/>
  <c r="D107" i="20" s="1"/>
  <c r="E106" i="20"/>
  <c r="G535" i="13"/>
  <c r="E535" i="13"/>
  <c r="F535" i="13"/>
  <c r="D536" i="13" s="1"/>
  <c r="I70" i="11"/>
  <c r="G70" i="11"/>
  <c r="H32" i="30" s="1"/>
  <c r="I32" i="30" s="1"/>
  <c r="I27" i="30" s="1"/>
  <c r="E374" i="20"/>
  <c r="F374" i="20" s="1"/>
  <c r="D375" i="20" s="1"/>
  <c r="E553" i="20"/>
  <c r="F553" i="20" s="1"/>
  <c r="D554" i="20" s="1"/>
  <c r="F276" i="13"/>
  <c r="D277" i="13" s="1"/>
  <c r="E276" i="13"/>
  <c r="E59" i="11"/>
  <c r="E104" i="13"/>
  <c r="E641" i="20"/>
  <c r="F641" i="20" s="1"/>
  <c r="D642" i="20" s="1"/>
  <c r="A62" i="11"/>
  <c r="C62" i="11"/>
  <c r="F1175" i="20"/>
  <c r="D1176" i="20" s="1"/>
  <c r="H33" i="47"/>
  <c r="E792" i="13"/>
  <c r="F965" i="13"/>
  <c r="B73" i="2"/>
  <c r="B74" i="2" s="1"/>
  <c r="E449" i="13"/>
  <c r="D707" i="13" l="1"/>
  <c r="G706" i="13"/>
  <c r="D1225" i="13"/>
  <c r="G1224" i="13"/>
  <c r="E642" i="20"/>
  <c r="F642" i="20"/>
  <c r="D643" i="20" s="1"/>
  <c r="E554" i="20"/>
  <c r="F554" i="20"/>
  <c r="D555" i="20" s="1"/>
  <c r="E999" i="20"/>
  <c r="F999" i="20"/>
  <c r="D1000" i="20" s="1"/>
  <c r="E375" i="20"/>
  <c r="F375" i="20" s="1"/>
  <c r="D376" i="20" s="1"/>
  <c r="D1052" i="13"/>
  <c r="G1051" i="13"/>
  <c r="E1088" i="20"/>
  <c r="F1088" i="20" s="1"/>
  <c r="D1089" i="20" s="1"/>
  <c r="E821" i="20"/>
  <c r="F821" i="20" s="1"/>
  <c r="D822" i="20" s="1"/>
  <c r="E463" i="20"/>
  <c r="F463" i="20"/>
  <c r="D464" i="20" s="1"/>
  <c r="E1138" i="13"/>
  <c r="F1138" i="13"/>
  <c r="D1139" i="13" s="1"/>
  <c r="F732" i="20"/>
  <c r="D733" i="20" s="1"/>
  <c r="E732" i="20"/>
  <c r="G276" i="13"/>
  <c r="B80" i="41"/>
  <c r="E192" i="13"/>
  <c r="F192" i="13" s="1"/>
  <c r="E536" i="13"/>
  <c r="F536" i="13" s="1"/>
  <c r="E107" i="20"/>
  <c r="F107" i="20" s="1"/>
  <c r="D108" i="20" s="1"/>
  <c r="F32" i="32"/>
  <c r="H31" i="32"/>
  <c r="K31" i="32" s="1"/>
  <c r="G1137" i="13"/>
  <c r="B51" i="41"/>
  <c r="A85" i="41"/>
  <c r="H37" i="30"/>
  <c r="I37" i="30" s="1"/>
  <c r="H39" i="30"/>
  <c r="I39" i="30" s="1"/>
  <c r="I39" i="47"/>
  <c r="F620" i="13"/>
  <c r="E909" i="20"/>
  <c r="F909" i="20" s="1"/>
  <c r="D910" i="20" s="1"/>
  <c r="F198" i="20"/>
  <c r="D199" i="20" s="1"/>
  <c r="E198" i="20"/>
  <c r="E287" i="20"/>
  <c r="F287" i="20" s="1"/>
  <c r="D288" i="20" s="1"/>
  <c r="E1176" i="20"/>
  <c r="F1176" i="20"/>
  <c r="D1177" i="20" s="1"/>
  <c r="F277" i="13"/>
  <c r="D278" i="13" s="1"/>
  <c r="G277" i="13"/>
  <c r="E277" i="13"/>
  <c r="B75" i="2"/>
  <c r="B77" i="2" s="1"/>
  <c r="B78" i="2" s="1"/>
  <c r="E75" i="2"/>
  <c r="F792" i="13"/>
  <c r="D966" i="13"/>
  <c r="G965" i="13"/>
  <c r="A63" i="11"/>
  <c r="A64" i="11" s="1"/>
  <c r="C72" i="11"/>
  <c r="F449" i="13"/>
  <c r="F104" i="13"/>
  <c r="D32" i="49"/>
  <c r="H32" i="49" s="1"/>
  <c r="H31" i="49"/>
  <c r="K31" i="49" s="1"/>
  <c r="F40" i="49"/>
  <c r="F362" i="13"/>
  <c r="F41" i="47"/>
  <c r="E879" i="13"/>
  <c r="F879" i="13" s="1"/>
  <c r="E910" i="20" l="1"/>
  <c r="F910" i="20"/>
  <c r="D911" i="20" s="1"/>
  <c r="D193" i="13"/>
  <c r="G192" i="13"/>
  <c r="E288" i="20"/>
  <c r="F288" i="20"/>
  <c r="D289" i="20" s="1"/>
  <c r="E376" i="20"/>
  <c r="F376" i="20" s="1"/>
  <c r="D377" i="20" s="1"/>
  <c r="E108" i="20"/>
  <c r="F108" i="20"/>
  <c r="D109" i="20" s="1"/>
  <c r="E1089" i="20"/>
  <c r="F1089" i="20"/>
  <c r="D1090" i="20" s="1"/>
  <c r="D880" i="13"/>
  <c r="G879" i="13"/>
  <c r="E822" i="20"/>
  <c r="F822" i="20" s="1"/>
  <c r="D823" i="20" s="1"/>
  <c r="D537" i="13"/>
  <c r="G536" i="13"/>
  <c r="B79" i="2"/>
  <c r="B80" i="2" s="1"/>
  <c r="D450" i="13"/>
  <c r="G449" i="13"/>
  <c r="I40" i="47"/>
  <c r="I41" i="47" s="1"/>
  <c r="I42" i="47" s="1"/>
  <c r="I43" i="47" s="1"/>
  <c r="I44" i="47" s="1"/>
  <c r="I45" i="47" s="1"/>
  <c r="I46" i="47" s="1"/>
  <c r="I47" i="47" s="1"/>
  <c r="I48" i="47" s="1"/>
  <c r="I49" i="47" s="1"/>
  <c r="I50" i="47" s="1"/>
  <c r="K32" i="49"/>
  <c r="K33" i="49" s="1"/>
  <c r="D36" i="49" s="1"/>
  <c r="H33" i="49"/>
  <c r="E966" i="13"/>
  <c r="F966" i="13" s="1"/>
  <c r="K39" i="47"/>
  <c r="D40" i="47" s="1"/>
  <c r="E278" i="13"/>
  <c r="F278" i="13" s="1"/>
  <c r="E1225" i="13"/>
  <c r="F1225" i="13" s="1"/>
  <c r="D793" i="13"/>
  <c r="G792" i="13"/>
  <c r="I35" i="30"/>
  <c r="I25" i="30" s="1"/>
  <c r="L183" i="2" s="1"/>
  <c r="L186" i="2" s="1"/>
  <c r="L213" i="2" s="1"/>
  <c r="L13" i="2" s="1"/>
  <c r="E464" i="20"/>
  <c r="F464" i="20"/>
  <c r="D465" i="20" s="1"/>
  <c r="E1052" i="13"/>
  <c r="F1052" i="13"/>
  <c r="D1053" i="13" s="1"/>
  <c r="E1000" i="20"/>
  <c r="F1000" i="20" s="1"/>
  <c r="D1001" i="20" s="1"/>
  <c r="E643" i="20"/>
  <c r="F643" i="20" s="1"/>
  <c r="D644" i="20" s="1"/>
  <c r="D363" i="13"/>
  <c r="G362" i="13"/>
  <c r="F199" i="20"/>
  <c r="D200" i="20" s="1"/>
  <c r="E199" i="20"/>
  <c r="E733" i="20"/>
  <c r="F733" i="20"/>
  <c r="D734" i="20" s="1"/>
  <c r="E1139" i="13"/>
  <c r="F1139" i="13" s="1"/>
  <c r="E555" i="20"/>
  <c r="F555" i="20"/>
  <c r="D556" i="20" s="1"/>
  <c r="F41" i="49"/>
  <c r="A65" i="11"/>
  <c r="A66" i="11" s="1"/>
  <c r="E1177" i="20"/>
  <c r="F1177" i="20"/>
  <c r="D1178" i="20" s="1"/>
  <c r="F42" i="47"/>
  <c r="D105" i="13"/>
  <c r="G104" i="13"/>
  <c r="C64" i="11"/>
  <c r="D621" i="13"/>
  <c r="G620" i="13"/>
  <c r="A86" i="41"/>
  <c r="H32" i="32"/>
  <c r="F36" i="32"/>
  <c r="F39" i="32"/>
  <c r="G1138" i="13"/>
  <c r="F707" i="13"/>
  <c r="D708" i="13" s="1"/>
  <c r="E707" i="13"/>
  <c r="E377" i="20" l="1"/>
  <c r="F377" i="20" s="1"/>
  <c r="D378" i="20" s="1"/>
  <c r="E644" i="20"/>
  <c r="F644" i="20"/>
  <c r="D645" i="20" s="1"/>
  <c r="D1140" i="13"/>
  <c r="G1139" i="13"/>
  <c r="D1226" i="13"/>
  <c r="G1225" i="13"/>
  <c r="E823" i="20"/>
  <c r="F823" i="20" s="1"/>
  <c r="D824" i="20" s="1"/>
  <c r="D967" i="13"/>
  <c r="G966" i="13"/>
  <c r="E1001" i="20"/>
  <c r="F1001" i="20"/>
  <c r="D1002" i="20" s="1"/>
  <c r="D279" i="13"/>
  <c r="G278" i="13"/>
  <c r="K32" i="32"/>
  <c r="K33" i="32" s="1"/>
  <c r="D36" i="32" s="1"/>
  <c r="H33" i="32"/>
  <c r="E556" i="20"/>
  <c r="F556" i="20" s="1"/>
  <c r="D557" i="20" s="1"/>
  <c r="B88" i="41"/>
  <c r="A87" i="41"/>
  <c r="A88" i="41" s="1"/>
  <c r="C66" i="11"/>
  <c r="K40" i="47"/>
  <c r="D41" i="47" s="1"/>
  <c r="H40" i="47"/>
  <c r="B81" i="2"/>
  <c r="B82" i="2" s="1"/>
  <c r="E91" i="2"/>
  <c r="E193" i="13"/>
  <c r="F193" i="13" s="1"/>
  <c r="F47" i="13"/>
  <c r="F51" i="13" s="1"/>
  <c r="F55" i="13" s="1"/>
  <c r="F58" i="13" s="1"/>
  <c r="L20" i="2"/>
  <c r="G47" i="20"/>
  <c r="G51" i="20" s="1"/>
  <c r="G55" i="20" s="1"/>
  <c r="G58" i="20" s="1"/>
  <c r="L34" i="2"/>
  <c r="L37" i="2"/>
  <c r="L30" i="2"/>
  <c r="L31" i="2" s="1"/>
  <c r="F40" i="32"/>
  <c r="F363" i="13"/>
  <c r="D364" i="13" s="1"/>
  <c r="E363" i="13"/>
  <c r="F793" i="13"/>
  <c r="D794" i="13" s="1"/>
  <c r="G793" i="13"/>
  <c r="E793" i="13"/>
  <c r="H36" i="49"/>
  <c r="K36" i="49" s="1"/>
  <c r="E450" i="13"/>
  <c r="F450" i="13" s="1"/>
  <c r="E109" i="20"/>
  <c r="F109" i="20"/>
  <c r="D110" i="20" s="1"/>
  <c r="E289" i="20"/>
  <c r="F289" i="20" s="1"/>
  <c r="D290" i="20" s="1"/>
  <c r="E911" i="20"/>
  <c r="F911" i="20" s="1"/>
  <c r="D912" i="20" s="1"/>
  <c r="E708" i="13"/>
  <c r="F708" i="13"/>
  <c r="D709" i="13" s="1"/>
  <c r="E621" i="13"/>
  <c r="F621" i="13" s="1"/>
  <c r="A67" i="11"/>
  <c r="C67" i="11"/>
  <c r="E200" i="20"/>
  <c r="F200" i="20"/>
  <c r="D201" i="20" s="1"/>
  <c r="G1053" i="13"/>
  <c r="F1053" i="13"/>
  <c r="D1054" i="13" s="1"/>
  <c r="E1053" i="13"/>
  <c r="E1090" i="20"/>
  <c r="F1090" i="20" s="1"/>
  <c r="D1091" i="20" s="1"/>
  <c r="F43" i="47"/>
  <c r="E734" i="20"/>
  <c r="F734" i="20"/>
  <c r="D735" i="20" s="1"/>
  <c r="F1178" i="20"/>
  <c r="D1179" i="20" s="1"/>
  <c r="E1178" i="20"/>
  <c r="E465" i="20"/>
  <c r="F465" i="20"/>
  <c r="D466" i="20" s="1"/>
  <c r="G707" i="13"/>
  <c r="H36" i="32"/>
  <c r="E105" i="13"/>
  <c r="F105" i="13"/>
  <c r="D106" i="13" s="1"/>
  <c r="F42" i="49"/>
  <c r="G1052" i="13"/>
  <c r="I53" i="47"/>
  <c r="I55" i="47" s="1"/>
  <c r="E90" i="2"/>
  <c r="E537" i="13"/>
  <c r="F537" i="13" s="1"/>
  <c r="E880" i="13"/>
  <c r="F880" i="13"/>
  <c r="D881" i="13" s="1"/>
  <c r="G880" i="13"/>
  <c r="E912" i="20" l="1"/>
  <c r="F912" i="20" s="1"/>
  <c r="D913" i="20" s="1"/>
  <c r="D451" i="13"/>
  <c r="G450" i="13"/>
  <c r="E824" i="20"/>
  <c r="F824" i="20" s="1"/>
  <c r="D825" i="20" s="1"/>
  <c r="D538" i="13"/>
  <c r="G537" i="13"/>
  <c r="F1091" i="20"/>
  <c r="D1092" i="20" s="1"/>
  <c r="E1091" i="20"/>
  <c r="D622" i="13"/>
  <c r="G621" i="13"/>
  <c r="E290" i="20"/>
  <c r="F290" i="20" s="1"/>
  <c r="D291" i="20" s="1"/>
  <c r="D39" i="49"/>
  <c r="I39" i="49"/>
  <c r="D194" i="13"/>
  <c r="G193" i="13"/>
  <c r="E557" i="20"/>
  <c r="F557" i="20" s="1"/>
  <c r="D558" i="20" s="1"/>
  <c r="F378" i="20"/>
  <c r="D379" i="20" s="1"/>
  <c r="E378" i="20"/>
  <c r="E106" i="13"/>
  <c r="F106" i="13"/>
  <c r="D107" i="13" s="1"/>
  <c r="E201" i="20"/>
  <c r="F201" i="20"/>
  <c r="D202" i="20" s="1"/>
  <c r="F41" i="32"/>
  <c r="F65" i="13"/>
  <c r="F66" i="13" s="1"/>
  <c r="F60" i="13"/>
  <c r="F68" i="13" s="1"/>
  <c r="F69" i="13" s="1"/>
  <c r="F279" i="13"/>
  <c r="D280" i="13" s="1"/>
  <c r="E279" i="13"/>
  <c r="F967" i="13"/>
  <c r="D968" i="13" s="1"/>
  <c r="E967" i="13"/>
  <c r="E1226" i="13"/>
  <c r="F1226" i="13"/>
  <c r="D1227" i="13" s="1"/>
  <c r="E466" i="20"/>
  <c r="F466" i="20" s="1"/>
  <c r="D467" i="20" s="1"/>
  <c r="E110" i="20"/>
  <c r="F110" i="20"/>
  <c r="D111" i="20" s="1"/>
  <c r="E645" i="20"/>
  <c r="F645" i="20" s="1"/>
  <c r="D646" i="20" s="1"/>
  <c r="E709" i="13"/>
  <c r="F709" i="13" s="1"/>
  <c r="E794" i="13"/>
  <c r="F794" i="13" s="1"/>
  <c r="G708" i="13"/>
  <c r="G70" i="20"/>
  <c r="F70" i="13"/>
  <c r="B83" i="2"/>
  <c r="B84" i="2" s="1"/>
  <c r="A89" i="41"/>
  <c r="B89" i="41"/>
  <c r="E1002" i="20"/>
  <c r="F1002" i="20" s="1"/>
  <c r="D1003" i="20" s="1"/>
  <c r="E735" i="20"/>
  <c r="F735" i="20"/>
  <c r="D736" i="20" s="1"/>
  <c r="E364" i="13"/>
  <c r="F364" i="13" s="1"/>
  <c r="K41" i="47"/>
  <c r="D42" i="47" s="1"/>
  <c r="H41" i="47"/>
  <c r="E881" i="13"/>
  <c r="F881" i="13" s="1"/>
  <c r="F43" i="49"/>
  <c r="A68" i="11"/>
  <c r="C68" i="11"/>
  <c r="G105" i="13"/>
  <c r="E1179" i="20"/>
  <c r="F1179" i="20"/>
  <c r="D1180" i="20" s="1"/>
  <c r="F44" i="47"/>
  <c r="E1054" i="13"/>
  <c r="F1054" i="13"/>
  <c r="D1055" i="13" s="1"/>
  <c r="G363" i="13"/>
  <c r="G65" i="20"/>
  <c r="G66" i="20" s="1"/>
  <c r="G60" i="20"/>
  <c r="G68" i="20" s="1"/>
  <c r="G69" i="20" s="1"/>
  <c r="G71" i="20" s="1"/>
  <c r="K36" i="32"/>
  <c r="E1140" i="13"/>
  <c r="F1140" i="13" s="1"/>
  <c r="E1003" i="20" l="1"/>
  <c r="F1003" i="20"/>
  <c r="D1004" i="20" s="1"/>
  <c r="E558" i="20"/>
  <c r="F558" i="20"/>
  <c r="D559" i="20" s="1"/>
  <c r="D365" i="13"/>
  <c r="G364" i="13"/>
  <c r="E467" i="20"/>
  <c r="F467" i="20"/>
  <c r="D468" i="20" s="1"/>
  <c r="E291" i="20"/>
  <c r="F291" i="20"/>
  <c r="D292" i="20" s="1"/>
  <c r="D1141" i="13"/>
  <c r="G1140" i="13"/>
  <c r="D710" i="13"/>
  <c r="G709" i="13"/>
  <c r="E825" i="20"/>
  <c r="F825" i="20"/>
  <c r="D826" i="20" s="1"/>
  <c r="E646" i="20"/>
  <c r="F646" i="20" s="1"/>
  <c r="D647" i="20" s="1"/>
  <c r="D882" i="13"/>
  <c r="G881" i="13"/>
  <c r="D795" i="13"/>
  <c r="G794" i="13"/>
  <c r="E913" i="20"/>
  <c r="F913" i="20"/>
  <c r="D914" i="20" s="1"/>
  <c r="E1227" i="13"/>
  <c r="F1227" i="13"/>
  <c r="D1228" i="13" s="1"/>
  <c r="F280" i="13"/>
  <c r="D281" i="13" s="1"/>
  <c r="E280" i="13"/>
  <c r="F107" i="13"/>
  <c r="D108" i="13" s="1"/>
  <c r="G107" i="13"/>
  <c r="E107" i="13"/>
  <c r="A69" i="11"/>
  <c r="C69" i="11"/>
  <c r="A91" i="41"/>
  <c r="J269" i="13"/>
  <c r="J441" i="13"/>
  <c r="J957" i="13"/>
  <c r="J699" i="13"/>
  <c r="J1043" i="13"/>
  <c r="J97" i="13"/>
  <c r="J355" i="13"/>
  <c r="J613" i="13"/>
  <c r="J1216" i="13"/>
  <c r="J1129" i="13"/>
  <c r="J183" i="13"/>
  <c r="J527" i="13"/>
  <c r="J785" i="13"/>
  <c r="J871" i="13"/>
  <c r="G1226" i="13"/>
  <c r="G967" i="13"/>
  <c r="F71" i="13"/>
  <c r="E202" i="20"/>
  <c r="F202" i="20" s="1"/>
  <c r="D203" i="20" s="1"/>
  <c r="K39" i="49"/>
  <c r="D40" i="49" s="1"/>
  <c r="H39" i="49"/>
  <c r="E622" i="13"/>
  <c r="F622" i="13" s="1"/>
  <c r="E538" i="13"/>
  <c r="F538" i="13"/>
  <c r="D539" i="13" s="1"/>
  <c r="E451" i="13"/>
  <c r="G451" i="13"/>
  <c r="F451" i="13"/>
  <c r="D452" i="13" s="1"/>
  <c r="F1055" i="13"/>
  <c r="D1056" i="13" s="1"/>
  <c r="E1055" i="13"/>
  <c r="E736" i="20"/>
  <c r="F736" i="20"/>
  <c r="D737" i="20" s="1"/>
  <c r="I40" i="49"/>
  <c r="I41" i="49" s="1"/>
  <c r="I42" i="49" s="1"/>
  <c r="I43" i="49" s="1"/>
  <c r="I44" i="49" s="1"/>
  <c r="I45" i="49" s="1"/>
  <c r="I46" i="49" s="1"/>
  <c r="I47" i="49" s="1"/>
  <c r="I48" i="49" s="1"/>
  <c r="I49" i="49" s="1"/>
  <c r="I50" i="49" s="1"/>
  <c r="I53" i="49"/>
  <c r="I55" i="49" s="1"/>
  <c r="E1180" i="20"/>
  <c r="F1180" i="20"/>
  <c r="D1181" i="20" s="1"/>
  <c r="G1054" i="13"/>
  <c r="F44" i="49"/>
  <c r="I988" i="20"/>
  <c r="I365" i="20"/>
  <c r="I187" i="20"/>
  <c r="I1166" i="20"/>
  <c r="I1167" i="20" s="1"/>
  <c r="I97" i="20"/>
  <c r="I810" i="20"/>
  <c r="I632" i="20"/>
  <c r="I276" i="20"/>
  <c r="I454" i="20"/>
  <c r="I1077" i="20"/>
  <c r="I1078" i="20" s="1"/>
  <c r="I543" i="20"/>
  <c r="I721" i="20"/>
  <c r="I899" i="20"/>
  <c r="G279" i="13"/>
  <c r="K42" i="47"/>
  <c r="D43" i="47" s="1"/>
  <c r="H42" i="47"/>
  <c r="B85" i="2"/>
  <c r="B86" i="2" s="1"/>
  <c r="E111" i="20"/>
  <c r="F111" i="20" s="1"/>
  <c r="D112" i="20" s="1"/>
  <c r="E968" i="13"/>
  <c r="F968" i="13" s="1"/>
  <c r="F42" i="32"/>
  <c r="D39" i="32"/>
  <c r="I39" i="32"/>
  <c r="F45" i="47"/>
  <c r="E92" i="2"/>
  <c r="G106" i="13"/>
  <c r="E379" i="20"/>
  <c r="F379" i="20" s="1"/>
  <c r="D380" i="20" s="1"/>
  <c r="E194" i="13"/>
  <c r="F194" i="13" s="1"/>
  <c r="F1092" i="20"/>
  <c r="D1093" i="20" s="1"/>
  <c r="E1092" i="20"/>
  <c r="E203" i="20" l="1"/>
  <c r="F203" i="20"/>
  <c r="D204" i="20" s="1"/>
  <c r="D969" i="13"/>
  <c r="G968" i="13"/>
  <c r="H968" i="13" s="1"/>
  <c r="E112" i="20"/>
  <c r="F112" i="20"/>
  <c r="D113" i="20" s="1"/>
  <c r="D623" i="13"/>
  <c r="G622" i="13"/>
  <c r="D195" i="13"/>
  <c r="G194" i="13"/>
  <c r="E380" i="20"/>
  <c r="F380" i="20" s="1"/>
  <c r="E647" i="20"/>
  <c r="F647" i="20" s="1"/>
  <c r="F43" i="32"/>
  <c r="G729" i="20"/>
  <c r="N713" i="20" s="1"/>
  <c r="I722" i="20"/>
  <c r="G727" i="20"/>
  <c r="G731" i="20"/>
  <c r="G726" i="20"/>
  <c r="G728" i="20"/>
  <c r="G730" i="20"/>
  <c r="G735" i="20"/>
  <c r="G732" i="20"/>
  <c r="G736" i="20"/>
  <c r="G734" i="20"/>
  <c r="G733" i="20"/>
  <c r="G284" i="20"/>
  <c r="G289" i="20"/>
  <c r="G281" i="20"/>
  <c r="G287" i="20"/>
  <c r="G285" i="20"/>
  <c r="N268" i="20" s="1"/>
  <c r="G288" i="20"/>
  <c r="G286" i="20"/>
  <c r="G282" i="20"/>
  <c r="G283" i="20"/>
  <c r="G291" i="20"/>
  <c r="I277" i="20"/>
  <c r="G290" i="20"/>
  <c r="G452" i="13"/>
  <c r="E452" i="13"/>
  <c r="F452" i="13"/>
  <c r="D453" i="13" s="1"/>
  <c r="H876" i="13"/>
  <c r="H877" i="13"/>
  <c r="M877" i="13" s="1"/>
  <c r="H881" i="13"/>
  <c r="J872" i="13"/>
  <c r="H878" i="13"/>
  <c r="H880" i="13"/>
  <c r="H879" i="13"/>
  <c r="H1137" i="13"/>
  <c r="H1134" i="13"/>
  <c r="H1135" i="13"/>
  <c r="H1136" i="13"/>
  <c r="H1139" i="13"/>
  <c r="H1140" i="13"/>
  <c r="J1130" i="13"/>
  <c r="H1138" i="13"/>
  <c r="J98" i="13"/>
  <c r="H106" i="13"/>
  <c r="M106" i="13" s="1"/>
  <c r="H102" i="13"/>
  <c r="H104" i="13"/>
  <c r="M104" i="13" s="1"/>
  <c r="H103" i="13"/>
  <c r="M103" i="13" s="1"/>
  <c r="H105" i="13"/>
  <c r="M105" i="13" s="1"/>
  <c r="H107" i="13"/>
  <c r="M107" i="13" s="1"/>
  <c r="H451" i="13"/>
  <c r="J442" i="13"/>
  <c r="H446" i="13"/>
  <c r="H452" i="13"/>
  <c r="H449" i="13"/>
  <c r="H450" i="13"/>
  <c r="H448" i="13"/>
  <c r="M448" i="13" s="1"/>
  <c r="H447" i="13"/>
  <c r="M447" i="13" s="1"/>
  <c r="E108" i="13"/>
  <c r="G108" i="13"/>
  <c r="H108" i="13" s="1"/>
  <c r="M108" i="13" s="1"/>
  <c r="F108" i="13"/>
  <c r="D109" i="13" s="1"/>
  <c r="G1227" i="13"/>
  <c r="E882" i="13"/>
  <c r="F882" i="13" s="1"/>
  <c r="E1141" i="13"/>
  <c r="F1141" i="13" s="1"/>
  <c r="G912" i="20"/>
  <c r="G908" i="20"/>
  <c r="G909" i="20"/>
  <c r="G910" i="20"/>
  <c r="G907" i="20"/>
  <c r="G911" i="20"/>
  <c r="G905" i="20"/>
  <c r="G906" i="20"/>
  <c r="N891" i="20" s="1"/>
  <c r="G913" i="20"/>
  <c r="G904" i="20"/>
  <c r="I900" i="20"/>
  <c r="G465" i="20"/>
  <c r="G459" i="20"/>
  <c r="G464" i="20"/>
  <c r="I455" i="20"/>
  <c r="G467" i="20"/>
  <c r="G462" i="20"/>
  <c r="N446" i="20" s="1"/>
  <c r="G466" i="20"/>
  <c r="G463" i="20"/>
  <c r="G460" i="20"/>
  <c r="G461" i="20"/>
  <c r="G999" i="20"/>
  <c r="G996" i="20"/>
  <c r="G1004" i="20"/>
  <c r="G1082" i="20"/>
  <c r="G994" i="20"/>
  <c r="G1174" i="20"/>
  <c r="G1173" i="20"/>
  <c r="G1179" i="20"/>
  <c r="G1090" i="20"/>
  <c r="G1089" i="20"/>
  <c r="G1087" i="20"/>
  <c r="G1180" i="20"/>
  <c r="G1172" i="20"/>
  <c r="G1003" i="20"/>
  <c r="G1086" i="20"/>
  <c r="G998" i="20"/>
  <c r="G1085" i="20"/>
  <c r="G1088" i="20"/>
  <c r="G997" i="20"/>
  <c r="N980" i="20" s="1"/>
  <c r="G1001" i="20"/>
  <c r="G1091" i="20"/>
  <c r="G1178" i="20"/>
  <c r="G1092" i="20"/>
  <c r="G1171" i="20"/>
  <c r="G1177" i="20"/>
  <c r="G1000" i="20"/>
  <c r="G995" i="20"/>
  <c r="G1002" i="20"/>
  <c r="G1084" i="20"/>
  <c r="G1176" i="20"/>
  <c r="I989" i="20"/>
  <c r="G1083" i="20"/>
  <c r="N1069" i="20" s="1"/>
  <c r="G1175" i="20"/>
  <c r="G993" i="20"/>
  <c r="E737" i="20"/>
  <c r="F737" i="20" s="1"/>
  <c r="E539" i="13"/>
  <c r="F539" i="13"/>
  <c r="D540" i="13" s="1"/>
  <c r="J356" i="13"/>
  <c r="H364" i="13"/>
  <c r="H363" i="13"/>
  <c r="M363" i="13" s="1"/>
  <c r="H362" i="13"/>
  <c r="M362" i="13" s="1"/>
  <c r="H360" i="13"/>
  <c r="H361" i="13"/>
  <c r="M361" i="13" s="1"/>
  <c r="A92" i="41"/>
  <c r="E914" i="20"/>
  <c r="F914" i="20" s="1"/>
  <c r="E826" i="20"/>
  <c r="F826" i="20" s="1"/>
  <c r="E468" i="20"/>
  <c r="F468" i="20" s="1"/>
  <c r="I40" i="32"/>
  <c r="I41" i="32" s="1"/>
  <c r="I42" i="32" s="1"/>
  <c r="I43" i="32" s="1"/>
  <c r="I44" i="32" s="1"/>
  <c r="I45" i="32" s="1"/>
  <c r="I46" i="32" s="1"/>
  <c r="I47" i="32" s="1"/>
  <c r="I48" i="32" s="1"/>
  <c r="I49" i="32" s="1"/>
  <c r="I50" i="32" s="1"/>
  <c r="G538" i="13"/>
  <c r="H538" i="13" s="1"/>
  <c r="E1228" i="13"/>
  <c r="F1228" i="13" s="1"/>
  <c r="E292" i="20"/>
  <c r="F292" i="20" s="1"/>
  <c r="E1004" i="20"/>
  <c r="F1004" i="20"/>
  <c r="D1005" i="20" s="1"/>
  <c r="F1093" i="20"/>
  <c r="D1094" i="20" s="1"/>
  <c r="E1093" i="20"/>
  <c r="F46" i="47"/>
  <c r="B87" i="2"/>
  <c r="B89" i="2" s="1"/>
  <c r="B90" i="2" s="1"/>
  <c r="E94" i="2"/>
  <c r="E87" i="2"/>
  <c r="G111" i="20"/>
  <c r="G104" i="20"/>
  <c r="G103" i="20"/>
  <c r="G107" i="20"/>
  <c r="G106" i="20"/>
  <c r="G112" i="20"/>
  <c r="N89" i="20" s="1"/>
  <c r="G102" i="20"/>
  <c r="G110" i="20"/>
  <c r="G108" i="20"/>
  <c r="G109" i="20"/>
  <c r="G105" i="20"/>
  <c r="I98" i="20"/>
  <c r="E1181" i="20"/>
  <c r="F1181" i="20" s="1"/>
  <c r="E1056" i="13"/>
  <c r="F1056" i="13" s="1"/>
  <c r="J184" i="13"/>
  <c r="H194" i="13"/>
  <c r="M194" i="13" s="1"/>
  <c r="H192" i="13"/>
  <c r="M192" i="13" s="1"/>
  <c r="H193" i="13"/>
  <c r="M193" i="13" s="1"/>
  <c r="H189" i="13"/>
  <c r="M189" i="13" s="1"/>
  <c r="H191" i="13"/>
  <c r="M191" i="13" s="1"/>
  <c r="H188" i="13"/>
  <c r="H190" i="13"/>
  <c r="M190" i="13" s="1"/>
  <c r="H963" i="13"/>
  <c r="H962" i="13"/>
  <c r="H967" i="13"/>
  <c r="H965" i="13"/>
  <c r="M965" i="13" s="1"/>
  <c r="H966" i="13"/>
  <c r="H964" i="13"/>
  <c r="J958" i="13"/>
  <c r="E281" i="13"/>
  <c r="F281" i="13"/>
  <c r="D282" i="13" s="1"/>
  <c r="E559" i="20"/>
  <c r="F559" i="20" s="1"/>
  <c r="K43" i="47"/>
  <c r="D44" i="47" s="1"/>
  <c r="H43" i="47"/>
  <c r="G550" i="20"/>
  <c r="N535" i="20" s="1"/>
  <c r="G552" i="20"/>
  <c r="G554" i="20"/>
  <c r="I544" i="20"/>
  <c r="G558" i="20"/>
  <c r="G555" i="20"/>
  <c r="G548" i="20"/>
  <c r="G549" i="20"/>
  <c r="G556" i="20"/>
  <c r="G557" i="20"/>
  <c r="G551" i="20"/>
  <c r="G553" i="20"/>
  <c r="G645" i="20"/>
  <c r="G646" i="20"/>
  <c r="G642" i="20"/>
  <c r="I633" i="20"/>
  <c r="G643" i="20"/>
  <c r="G644" i="20"/>
  <c r="G638" i="20"/>
  <c r="G641" i="20"/>
  <c r="G637" i="20"/>
  <c r="G640" i="20"/>
  <c r="G639" i="20"/>
  <c r="N624" i="20" s="1"/>
  <c r="G193" i="20"/>
  <c r="G197" i="20"/>
  <c r="G201" i="20"/>
  <c r="G194" i="20"/>
  <c r="G200" i="20"/>
  <c r="G196" i="20"/>
  <c r="G199" i="20"/>
  <c r="N179" i="20" s="1"/>
  <c r="G198" i="20"/>
  <c r="G203" i="20"/>
  <c r="G192" i="20"/>
  <c r="G202" i="20"/>
  <c r="G195" i="20"/>
  <c r="I188" i="20"/>
  <c r="F45" i="49"/>
  <c r="H791" i="13"/>
  <c r="M791" i="13" s="1"/>
  <c r="H794" i="13"/>
  <c r="H792" i="13"/>
  <c r="M792" i="13" s="1"/>
  <c r="H790" i="13"/>
  <c r="J786" i="13"/>
  <c r="H793" i="13"/>
  <c r="M793" i="13" s="1"/>
  <c r="J1217" i="13"/>
  <c r="H1224" i="13"/>
  <c r="H1226" i="13"/>
  <c r="H1223" i="13"/>
  <c r="H1225" i="13"/>
  <c r="H1222" i="13"/>
  <c r="M1210" i="13" s="1"/>
  <c r="M1211" i="13" s="1"/>
  <c r="H1227" i="13"/>
  <c r="H1221" i="13"/>
  <c r="H1054" i="13"/>
  <c r="J1044" i="13"/>
  <c r="H1051" i="13"/>
  <c r="H1052" i="13"/>
  <c r="H1048" i="13"/>
  <c r="H1053" i="13"/>
  <c r="H1050" i="13"/>
  <c r="H1049" i="13"/>
  <c r="H275" i="13"/>
  <c r="M275" i="13" s="1"/>
  <c r="H279" i="13"/>
  <c r="H278" i="13"/>
  <c r="H274" i="13"/>
  <c r="H277" i="13"/>
  <c r="M277" i="13" s="1"/>
  <c r="H276" i="13"/>
  <c r="M276" i="13" s="1"/>
  <c r="J270" i="13"/>
  <c r="A70" i="11"/>
  <c r="A72" i="11" s="1"/>
  <c r="A73" i="11" s="1"/>
  <c r="A74" i="11" s="1"/>
  <c r="C70" i="11"/>
  <c r="G280" i="13"/>
  <c r="H280" i="13" s="1"/>
  <c r="K39" i="32"/>
  <c r="D40" i="32" s="1"/>
  <c r="H39" i="32"/>
  <c r="E93" i="2"/>
  <c r="G818" i="20"/>
  <c r="G820" i="20"/>
  <c r="G823" i="20"/>
  <c r="G824" i="20"/>
  <c r="G825" i="20"/>
  <c r="G822" i="20"/>
  <c r="G819" i="20"/>
  <c r="N802" i="20" s="1"/>
  <c r="G815" i="20"/>
  <c r="G816" i="20"/>
  <c r="I811" i="20"/>
  <c r="G821" i="20"/>
  <c r="G817" i="20"/>
  <c r="G376" i="20"/>
  <c r="G377" i="20"/>
  <c r="G371" i="20"/>
  <c r="I366" i="20"/>
  <c r="G375" i="20"/>
  <c r="G373" i="20"/>
  <c r="G378" i="20"/>
  <c r="G370" i="20"/>
  <c r="G374" i="20"/>
  <c r="N357" i="20" s="1"/>
  <c r="G379" i="20"/>
  <c r="G372" i="20"/>
  <c r="G1055" i="13"/>
  <c r="H1055" i="13" s="1"/>
  <c r="K40" i="49"/>
  <c r="D41" i="49" s="1"/>
  <c r="H40" i="49"/>
  <c r="H536" i="13"/>
  <c r="H535" i="13"/>
  <c r="H534" i="13"/>
  <c r="H532" i="13"/>
  <c r="H533" i="13"/>
  <c r="M533" i="13" s="1"/>
  <c r="H537" i="13"/>
  <c r="J528" i="13"/>
  <c r="J614" i="13"/>
  <c r="H621" i="13"/>
  <c r="H620" i="13"/>
  <c r="H618" i="13"/>
  <c r="H622" i="13"/>
  <c r="H619" i="13"/>
  <c r="M619" i="13" s="1"/>
  <c r="J700" i="13"/>
  <c r="H706" i="13"/>
  <c r="M706" i="13" s="1"/>
  <c r="H708" i="13"/>
  <c r="H705" i="13"/>
  <c r="M705" i="13" s="1"/>
  <c r="H709" i="13"/>
  <c r="H704" i="13"/>
  <c r="H707" i="13"/>
  <c r="E795" i="13"/>
  <c r="F795" i="13"/>
  <c r="D796" i="13" s="1"/>
  <c r="E710" i="13"/>
  <c r="F710" i="13" s="1"/>
  <c r="E365" i="13"/>
  <c r="F365" i="13" s="1"/>
  <c r="D560" i="20" l="1"/>
  <c r="G559" i="20"/>
  <c r="D469" i="20"/>
  <c r="G468" i="20"/>
  <c r="D648" i="20"/>
  <c r="G647" i="20"/>
  <c r="D1229" i="13"/>
  <c r="G1228" i="13"/>
  <c r="H1228" i="13" s="1"/>
  <c r="D827" i="20"/>
  <c r="G826" i="20"/>
  <c r="D883" i="13"/>
  <c r="G882" i="13"/>
  <c r="H882" i="13" s="1"/>
  <c r="D381" i="20"/>
  <c r="G380" i="20"/>
  <c r="D366" i="13"/>
  <c r="G365" i="13"/>
  <c r="H365" i="13" s="1"/>
  <c r="D293" i="20"/>
  <c r="G292" i="20"/>
  <c r="D738" i="20"/>
  <c r="G737" i="20"/>
  <c r="D1142" i="13"/>
  <c r="G1141" i="13"/>
  <c r="H1141" i="13" s="1"/>
  <c r="D711" i="13"/>
  <c r="G710" i="13"/>
  <c r="H710" i="13" s="1"/>
  <c r="D1057" i="13"/>
  <c r="G1056" i="13"/>
  <c r="H1056" i="13" s="1"/>
  <c r="D915" i="20"/>
  <c r="G914" i="20"/>
  <c r="D1182" i="20"/>
  <c r="G1181" i="20"/>
  <c r="E796" i="13"/>
  <c r="F796" i="13" s="1"/>
  <c r="M790" i="13"/>
  <c r="B91" i="2"/>
  <c r="E540" i="13"/>
  <c r="F540" i="13" s="1"/>
  <c r="M704" i="13"/>
  <c r="I704" i="13"/>
  <c r="I705" i="13"/>
  <c r="I709" i="13"/>
  <c r="J709" i="13" s="1"/>
  <c r="I708" i="13"/>
  <c r="J708" i="13" s="1"/>
  <c r="I707" i="13"/>
  <c r="I706" i="13"/>
  <c r="I710" i="13"/>
  <c r="J710" i="13" s="1"/>
  <c r="I539" i="13"/>
  <c r="J539" i="13" s="1"/>
  <c r="I532" i="13"/>
  <c r="I535" i="13"/>
  <c r="J535" i="13" s="1"/>
  <c r="I533" i="13"/>
  <c r="I537" i="13"/>
  <c r="J537" i="13" s="1"/>
  <c r="I538" i="13"/>
  <c r="J538" i="13" s="1"/>
  <c r="I534" i="13"/>
  <c r="I536" i="13"/>
  <c r="J536" i="13" s="1"/>
  <c r="M532" i="13"/>
  <c r="M534" i="13"/>
  <c r="M521" i="13"/>
  <c r="M522" i="13" s="1"/>
  <c r="H374" i="20"/>
  <c r="H376" i="20"/>
  <c r="I376" i="20" s="1"/>
  <c r="H375" i="20"/>
  <c r="I375" i="20" s="1"/>
  <c r="H377" i="20"/>
  <c r="I377" i="20" s="1"/>
  <c r="H371" i="20"/>
  <c r="I371" i="20" s="1"/>
  <c r="H373" i="20"/>
  <c r="I373" i="20" s="1"/>
  <c r="H370" i="20"/>
  <c r="H378" i="20"/>
  <c r="I378" i="20" s="1"/>
  <c r="H379" i="20"/>
  <c r="I379" i="20" s="1"/>
  <c r="H380" i="20"/>
  <c r="I380" i="20" s="1"/>
  <c r="H372" i="20"/>
  <c r="I372" i="20" s="1"/>
  <c r="H815" i="20"/>
  <c r="H824" i="20"/>
  <c r="I824" i="20" s="1"/>
  <c r="H816" i="20"/>
  <c r="I816" i="20" s="1"/>
  <c r="H822" i="20"/>
  <c r="I822" i="20" s="1"/>
  <c r="H826" i="20"/>
  <c r="I826" i="20" s="1"/>
  <c r="H825" i="20"/>
  <c r="I825" i="20" s="1"/>
  <c r="H818" i="20"/>
  <c r="I818" i="20" s="1"/>
  <c r="H817" i="20"/>
  <c r="I817" i="20" s="1"/>
  <c r="H819" i="20"/>
  <c r="H823" i="20"/>
  <c r="I823" i="20" s="1"/>
  <c r="H821" i="20"/>
  <c r="I821" i="20" s="1"/>
  <c r="H820" i="20"/>
  <c r="I820" i="20" s="1"/>
  <c r="K40" i="32"/>
  <c r="D41" i="32" s="1"/>
  <c r="H40" i="32"/>
  <c r="M1037" i="13"/>
  <c r="M1038" i="13" s="1"/>
  <c r="M1049" i="13"/>
  <c r="H199" i="20"/>
  <c r="H203" i="20"/>
  <c r="I203" i="20" s="1"/>
  <c r="H194" i="20"/>
  <c r="I194" i="20" s="1"/>
  <c r="H196" i="20"/>
  <c r="I196" i="20" s="1"/>
  <c r="H195" i="20"/>
  <c r="I195" i="20" s="1"/>
  <c r="H197" i="20"/>
  <c r="I197" i="20" s="1"/>
  <c r="H202" i="20"/>
  <c r="I202" i="20" s="1"/>
  <c r="H201" i="20"/>
  <c r="I201" i="20" s="1"/>
  <c r="H204" i="20"/>
  <c r="H193" i="20"/>
  <c r="I193" i="20" s="1"/>
  <c r="H200" i="20"/>
  <c r="I200" i="20" s="1"/>
  <c r="H198" i="20"/>
  <c r="I198" i="20" s="1"/>
  <c r="H192" i="20"/>
  <c r="H554" i="20"/>
  <c r="I554" i="20" s="1"/>
  <c r="H558" i="20"/>
  <c r="I558" i="20" s="1"/>
  <c r="H556" i="20"/>
  <c r="I556" i="20" s="1"/>
  <c r="H559" i="20"/>
  <c r="I559" i="20" s="1"/>
  <c r="H549" i="20"/>
  <c r="I549" i="20" s="1"/>
  <c r="H550" i="20"/>
  <c r="H552" i="20"/>
  <c r="I552" i="20" s="1"/>
  <c r="H557" i="20"/>
  <c r="I557" i="20" s="1"/>
  <c r="H548" i="20"/>
  <c r="H551" i="20"/>
  <c r="I551" i="20" s="1"/>
  <c r="H555" i="20"/>
  <c r="I555" i="20" s="1"/>
  <c r="H553" i="20"/>
  <c r="I553" i="20" s="1"/>
  <c r="F1005" i="20"/>
  <c r="E1005" i="20"/>
  <c r="M360" i="13"/>
  <c r="I360" i="13"/>
  <c r="I365" i="13"/>
  <c r="J365" i="13" s="1"/>
  <c r="I362" i="13"/>
  <c r="I363" i="13"/>
  <c r="I361" i="13"/>
  <c r="I364" i="13"/>
  <c r="G1093" i="20"/>
  <c r="I106" i="13"/>
  <c r="I103" i="13"/>
  <c r="I108" i="13"/>
  <c r="I107" i="13"/>
  <c r="I105" i="13"/>
  <c r="I102" i="13"/>
  <c r="I104" i="13"/>
  <c r="M1123" i="13"/>
  <c r="M1124" i="13" s="1"/>
  <c r="M1134" i="13"/>
  <c r="M865" i="13"/>
  <c r="M866" i="13" s="1"/>
  <c r="M878" i="13"/>
  <c r="M876" i="13"/>
  <c r="H287" i="20"/>
  <c r="I287" i="20" s="1"/>
  <c r="H288" i="20"/>
  <c r="I288" i="20" s="1"/>
  <c r="H291" i="20"/>
  <c r="I291" i="20" s="1"/>
  <c r="H285" i="20"/>
  <c r="H289" i="20"/>
  <c r="I289" i="20" s="1"/>
  <c r="H281" i="20"/>
  <c r="H286" i="20"/>
  <c r="I286" i="20" s="1"/>
  <c r="H292" i="20"/>
  <c r="I292" i="20" s="1"/>
  <c r="H284" i="20"/>
  <c r="I284" i="20" s="1"/>
  <c r="H283" i="20"/>
  <c r="I283" i="20" s="1"/>
  <c r="H290" i="20"/>
  <c r="I290" i="20" s="1"/>
  <c r="H282" i="20"/>
  <c r="I282" i="20" s="1"/>
  <c r="E623" i="13"/>
  <c r="F623" i="13" s="1"/>
  <c r="E969" i="13"/>
  <c r="F969" i="13"/>
  <c r="D970" i="13" s="1"/>
  <c r="A75" i="11"/>
  <c r="A76" i="11" s="1"/>
  <c r="C76" i="11"/>
  <c r="I1053" i="13"/>
  <c r="J1053" i="13" s="1"/>
  <c r="I1052" i="13"/>
  <c r="J1052" i="13" s="1"/>
  <c r="I1049" i="13"/>
  <c r="I1051" i="13"/>
  <c r="J1051" i="13" s="1"/>
  <c r="I1056" i="13"/>
  <c r="J1056" i="13" s="1"/>
  <c r="I1054" i="13"/>
  <c r="J1054" i="13" s="1"/>
  <c r="I1048" i="13"/>
  <c r="I1055" i="13"/>
  <c r="J1055" i="13" s="1"/>
  <c r="I1050" i="13"/>
  <c r="J1050" i="13" s="1"/>
  <c r="F282" i="13"/>
  <c r="D283" i="13" s="1"/>
  <c r="G282" i="13"/>
  <c r="H282" i="13" s="1"/>
  <c r="E282" i="13"/>
  <c r="M966" i="13"/>
  <c r="M951" i="13"/>
  <c r="M952" i="13" s="1"/>
  <c r="E1094" i="20"/>
  <c r="F1094" i="20"/>
  <c r="D1095" i="20" s="1"/>
  <c r="G1094" i="20"/>
  <c r="I448" i="13"/>
  <c r="I450" i="13"/>
  <c r="J450" i="13" s="1"/>
  <c r="I446" i="13"/>
  <c r="I451" i="13"/>
  <c r="J451" i="13" s="1"/>
  <c r="I449" i="13"/>
  <c r="I452" i="13"/>
  <c r="J452" i="13" s="1"/>
  <c r="I447" i="13"/>
  <c r="F44" i="32"/>
  <c r="G795" i="13"/>
  <c r="H795" i="13" s="1"/>
  <c r="M620" i="13"/>
  <c r="M607" i="13"/>
  <c r="M608" i="13" s="1"/>
  <c r="M274" i="13"/>
  <c r="I1228" i="13"/>
  <c r="J1228" i="13" s="1"/>
  <c r="I1224" i="13"/>
  <c r="J1224" i="13" s="1"/>
  <c r="I1221" i="13"/>
  <c r="I1222" i="13"/>
  <c r="I1223" i="13"/>
  <c r="J1223" i="13" s="1"/>
  <c r="I1226" i="13"/>
  <c r="J1226" i="13" s="1"/>
  <c r="I1225" i="13"/>
  <c r="J1225" i="13" s="1"/>
  <c r="I1227" i="13"/>
  <c r="J1227" i="13" s="1"/>
  <c r="I793" i="13"/>
  <c r="I792" i="13"/>
  <c r="I791" i="13"/>
  <c r="I790" i="13"/>
  <c r="I794" i="13"/>
  <c r="I795" i="13"/>
  <c r="J795" i="13" s="1"/>
  <c r="M779" i="13"/>
  <c r="M780" i="13" s="1"/>
  <c r="M794" i="13"/>
  <c r="H637" i="20"/>
  <c r="H638" i="20"/>
  <c r="I638" i="20" s="1"/>
  <c r="H642" i="20"/>
  <c r="I642" i="20" s="1"/>
  <c r="H639" i="20"/>
  <c r="H647" i="20"/>
  <c r="I647" i="20" s="1"/>
  <c r="H643" i="20"/>
  <c r="I643" i="20" s="1"/>
  <c r="H646" i="20"/>
  <c r="I646" i="20" s="1"/>
  <c r="H645" i="20"/>
  <c r="I645" i="20" s="1"/>
  <c r="H640" i="20"/>
  <c r="I640" i="20" s="1"/>
  <c r="H644" i="20"/>
  <c r="I644" i="20" s="1"/>
  <c r="H641" i="20"/>
  <c r="I641" i="20" s="1"/>
  <c r="I191" i="13"/>
  <c r="I189" i="13"/>
  <c r="I193" i="13"/>
  <c r="I190" i="13"/>
  <c r="I188" i="13"/>
  <c r="I192" i="13"/>
  <c r="I194" i="13"/>
  <c r="F47" i="47"/>
  <c r="I53" i="32"/>
  <c r="I55" i="32" s="1"/>
  <c r="A93" i="41"/>
  <c r="A94" i="41" s="1"/>
  <c r="B94" i="41"/>
  <c r="G539" i="13"/>
  <c r="H539" i="13" s="1"/>
  <c r="H1087" i="20"/>
  <c r="I1087" i="20" s="1"/>
  <c r="H994" i="20"/>
  <c r="I994" i="20" s="1"/>
  <c r="H1002" i="20"/>
  <c r="I1002" i="20" s="1"/>
  <c r="H1084" i="20"/>
  <c r="I1084" i="20" s="1"/>
  <c r="H1003" i="20"/>
  <c r="I1003" i="20" s="1"/>
  <c r="H993" i="20"/>
  <c r="H1091" i="20"/>
  <c r="I1091" i="20" s="1"/>
  <c r="H1174" i="20"/>
  <c r="I1174" i="20" s="1"/>
  <c r="H1088" i="20"/>
  <c r="I1088" i="20" s="1"/>
  <c r="H1083" i="20"/>
  <c r="H1175" i="20"/>
  <c r="I1175" i="20" s="1"/>
  <c r="H1000" i="20"/>
  <c r="I1000" i="20" s="1"/>
  <c r="H995" i="20"/>
  <c r="I995" i="20" s="1"/>
  <c r="H1181" i="20"/>
  <c r="I1181" i="20" s="1"/>
  <c r="H1090" i="20"/>
  <c r="I1090" i="20" s="1"/>
  <c r="H1092" i="20"/>
  <c r="I1092" i="20" s="1"/>
  <c r="H1005" i="20"/>
  <c r="H1082" i="20"/>
  <c r="H997" i="20"/>
  <c r="H996" i="20"/>
  <c r="I996" i="20" s="1"/>
  <c r="H1173" i="20"/>
  <c r="I1173" i="20" s="1"/>
  <c r="H1086" i="20"/>
  <c r="I1086" i="20" s="1"/>
  <c r="H1093" i="20"/>
  <c r="I1093" i="20" s="1"/>
  <c r="H1176" i="20"/>
  <c r="I1176" i="20" s="1"/>
  <c r="H1179" i="20"/>
  <c r="I1179" i="20" s="1"/>
  <c r="H1178" i="20"/>
  <c r="I1178" i="20" s="1"/>
  <c r="H1180" i="20"/>
  <c r="I1180" i="20" s="1"/>
  <c r="H1177" i="20"/>
  <c r="I1177" i="20" s="1"/>
  <c r="H999" i="20"/>
  <c r="I999" i="20" s="1"/>
  <c r="H1004" i="20"/>
  <c r="I1004" i="20" s="1"/>
  <c r="H998" i="20"/>
  <c r="I998" i="20" s="1"/>
  <c r="H1094" i="20"/>
  <c r="I1094" i="20" s="1"/>
  <c r="H1172" i="20"/>
  <c r="I1172" i="20" s="1"/>
  <c r="H1085" i="20"/>
  <c r="I1085" i="20" s="1"/>
  <c r="H1001" i="20"/>
  <c r="I1001" i="20" s="1"/>
  <c r="H1089" i="20"/>
  <c r="I1089" i="20" s="1"/>
  <c r="H1171" i="20"/>
  <c r="N1158" i="20"/>
  <c r="H466" i="20"/>
  <c r="I466" i="20" s="1"/>
  <c r="H464" i="20"/>
  <c r="I464" i="20" s="1"/>
  <c r="H468" i="20"/>
  <c r="I468" i="20" s="1"/>
  <c r="H467" i="20"/>
  <c r="I467" i="20" s="1"/>
  <c r="H465" i="20"/>
  <c r="I465" i="20" s="1"/>
  <c r="H460" i="20"/>
  <c r="I460" i="20" s="1"/>
  <c r="H462" i="20"/>
  <c r="H461" i="20"/>
  <c r="I461" i="20" s="1"/>
  <c r="H459" i="20"/>
  <c r="H463" i="20"/>
  <c r="I463" i="20" s="1"/>
  <c r="M446" i="13"/>
  <c r="I1136" i="13"/>
  <c r="J1136" i="13" s="1"/>
  <c r="I1140" i="13"/>
  <c r="J1140" i="13" s="1"/>
  <c r="I1135" i="13"/>
  <c r="J1135" i="13" s="1"/>
  <c r="I1138" i="13"/>
  <c r="J1138" i="13" s="1"/>
  <c r="I1141" i="13"/>
  <c r="J1141" i="13" s="1"/>
  <c r="I1134" i="13"/>
  <c r="I1139" i="13"/>
  <c r="J1139" i="13" s="1"/>
  <c r="I1137" i="13"/>
  <c r="J1137" i="13" s="1"/>
  <c r="I879" i="13"/>
  <c r="J879" i="13" s="1"/>
  <c r="I876" i="13"/>
  <c r="I877" i="13"/>
  <c r="I878" i="13"/>
  <c r="I881" i="13"/>
  <c r="J881" i="13" s="1"/>
  <c r="I882" i="13"/>
  <c r="J882" i="13" s="1"/>
  <c r="I880" i="13"/>
  <c r="J880" i="13" s="1"/>
  <c r="E453" i="13"/>
  <c r="F453" i="13"/>
  <c r="D454" i="13" s="1"/>
  <c r="H728" i="20"/>
  <c r="I728" i="20" s="1"/>
  <c r="H737" i="20"/>
  <c r="I737" i="20" s="1"/>
  <c r="H732" i="20"/>
  <c r="I732" i="20" s="1"/>
  <c r="H734" i="20"/>
  <c r="I734" i="20" s="1"/>
  <c r="H736" i="20"/>
  <c r="I736" i="20" s="1"/>
  <c r="H730" i="20"/>
  <c r="I730" i="20" s="1"/>
  <c r="H729" i="20"/>
  <c r="H735" i="20"/>
  <c r="I735" i="20" s="1"/>
  <c r="H733" i="20"/>
  <c r="I733" i="20" s="1"/>
  <c r="H726" i="20"/>
  <c r="H731" i="20"/>
  <c r="I731" i="20" s="1"/>
  <c r="H727" i="20"/>
  <c r="I727" i="20" s="1"/>
  <c r="E113" i="20"/>
  <c r="F113" i="20" s="1"/>
  <c r="E204" i="20"/>
  <c r="F204" i="20"/>
  <c r="M707" i="13"/>
  <c r="M693" i="13"/>
  <c r="M694" i="13" s="1"/>
  <c r="I622" i="13"/>
  <c r="J622" i="13" s="1"/>
  <c r="I618" i="13"/>
  <c r="I620" i="13"/>
  <c r="I621" i="13"/>
  <c r="J621" i="13" s="1"/>
  <c r="I619" i="13"/>
  <c r="K44" i="47"/>
  <c r="D45" i="47" s="1"/>
  <c r="H44" i="47"/>
  <c r="H108" i="20"/>
  <c r="I108" i="20" s="1"/>
  <c r="H105" i="20"/>
  <c r="I105" i="20" s="1"/>
  <c r="H112" i="20"/>
  <c r="H107" i="20"/>
  <c r="I107" i="20" s="1"/>
  <c r="H106" i="20"/>
  <c r="I106" i="20" s="1"/>
  <c r="H103" i="20"/>
  <c r="I103" i="20" s="1"/>
  <c r="H111" i="20"/>
  <c r="I111" i="20" s="1"/>
  <c r="H102" i="20"/>
  <c r="H110" i="20"/>
  <c r="I110" i="20" s="1"/>
  <c r="H109" i="20"/>
  <c r="I109" i="20" s="1"/>
  <c r="H104" i="20"/>
  <c r="I104" i="20" s="1"/>
  <c r="H910" i="20"/>
  <c r="I910" i="20" s="1"/>
  <c r="H909" i="20"/>
  <c r="I909" i="20" s="1"/>
  <c r="H914" i="20"/>
  <c r="I914" i="20" s="1"/>
  <c r="H904" i="20"/>
  <c r="H911" i="20"/>
  <c r="I911" i="20" s="1"/>
  <c r="H912" i="20"/>
  <c r="I912" i="20" s="1"/>
  <c r="H907" i="20"/>
  <c r="I907" i="20" s="1"/>
  <c r="H913" i="20"/>
  <c r="I913" i="20" s="1"/>
  <c r="H908" i="20"/>
  <c r="I908" i="20" s="1"/>
  <c r="H905" i="20"/>
  <c r="I905" i="20" s="1"/>
  <c r="H906" i="20"/>
  <c r="M618" i="13"/>
  <c r="K41" i="49"/>
  <c r="D42" i="49" s="1"/>
  <c r="H41" i="49"/>
  <c r="I278" i="13"/>
  <c r="I274" i="13"/>
  <c r="I279" i="13"/>
  <c r="J279" i="13" s="1"/>
  <c r="I276" i="13"/>
  <c r="I275" i="13"/>
  <c r="I277" i="13"/>
  <c r="I280" i="13"/>
  <c r="J280" i="13" s="1"/>
  <c r="M278" i="13"/>
  <c r="M263" i="13"/>
  <c r="M264" i="13" s="1"/>
  <c r="F46" i="49"/>
  <c r="G281" i="13"/>
  <c r="H281" i="13" s="1"/>
  <c r="I966" i="13"/>
  <c r="I963" i="13"/>
  <c r="J963" i="13" s="1"/>
  <c r="I965" i="13"/>
  <c r="I968" i="13"/>
  <c r="J968" i="13" s="1"/>
  <c r="I964" i="13"/>
  <c r="J964" i="13" s="1"/>
  <c r="I967" i="13"/>
  <c r="J967" i="13" s="1"/>
  <c r="I962" i="13"/>
  <c r="M26" i="20"/>
  <c r="M349" i="13"/>
  <c r="M350" i="13" s="1"/>
  <c r="M364" i="13"/>
  <c r="E109" i="13"/>
  <c r="F109" i="13" s="1"/>
  <c r="M449" i="13"/>
  <c r="M435" i="13"/>
  <c r="M436" i="13" s="1"/>
  <c r="E195" i="13"/>
  <c r="F195" i="13"/>
  <c r="D196" i="13" s="1"/>
  <c r="G195" i="13"/>
  <c r="H195" i="13" s="1"/>
  <c r="D624" i="13" l="1"/>
  <c r="G623" i="13"/>
  <c r="D797" i="13"/>
  <c r="G796" i="13"/>
  <c r="D541" i="13"/>
  <c r="G540" i="13"/>
  <c r="D114" i="20"/>
  <c r="G113" i="20"/>
  <c r="H113" i="20"/>
  <c r="I113" i="20" s="1"/>
  <c r="D110" i="13"/>
  <c r="G109" i="13"/>
  <c r="E970" i="13"/>
  <c r="F970" i="13"/>
  <c r="D971" i="13" s="1"/>
  <c r="N803" i="20"/>
  <c r="N804" i="20" s="1"/>
  <c r="I819" i="20"/>
  <c r="I370" i="20"/>
  <c r="E883" i="13"/>
  <c r="F883" i="13" s="1"/>
  <c r="E196" i="13"/>
  <c r="F196" i="13" s="1"/>
  <c r="N892" i="20"/>
  <c r="N893" i="20" s="1"/>
  <c r="I906" i="20"/>
  <c r="K45" i="47"/>
  <c r="D46" i="47" s="1"/>
  <c r="H45" i="47"/>
  <c r="J619" i="13"/>
  <c r="O619" i="13"/>
  <c r="P619" i="13" s="1"/>
  <c r="D205" i="20"/>
  <c r="G204" i="20"/>
  <c r="I726" i="20"/>
  <c r="F454" i="13"/>
  <c r="D455" i="13" s="1"/>
  <c r="E454" i="13"/>
  <c r="N865" i="13"/>
  <c r="J878" i="13"/>
  <c r="O878" i="13"/>
  <c r="P878" i="13" s="1"/>
  <c r="A95" i="41"/>
  <c r="B95" i="41"/>
  <c r="J1221" i="13"/>
  <c r="F283" i="13"/>
  <c r="D284" i="13" s="1"/>
  <c r="E283" i="13"/>
  <c r="G969" i="13"/>
  <c r="J102" i="13"/>
  <c r="J362" i="13"/>
  <c r="O362" i="13"/>
  <c r="P362" i="13" s="1"/>
  <c r="O705" i="13"/>
  <c r="P705" i="13" s="1"/>
  <c r="J705" i="13"/>
  <c r="B92" i="2"/>
  <c r="B93" i="2" s="1"/>
  <c r="B94" i="2" s="1"/>
  <c r="C64" i="13"/>
  <c r="C64" i="20"/>
  <c r="M195" i="13"/>
  <c r="M177" i="13"/>
  <c r="M178" i="13" s="1"/>
  <c r="J962" i="13"/>
  <c r="J965" i="13"/>
  <c r="O965" i="13"/>
  <c r="P965" i="13" s="1"/>
  <c r="F47" i="49"/>
  <c r="J620" i="13"/>
  <c r="O620" i="13"/>
  <c r="P620" i="13" s="1"/>
  <c r="N607" i="13"/>
  <c r="J877" i="13"/>
  <c r="O877" i="13"/>
  <c r="P877" i="13" s="1"/>
  <c r="J193" i="13"/>
  <c r="O193" i="13"/>
  <c r="P193" i="13" s="1"/>
  <c r="J191" i="13"/>
  <c r="O191" i="13"/>
  <c r="P191" i="13" s="1"/>
  <c r="J791" i="13"/>
  <c r="O791" i="13"/>
  <c r="P791" i="13" s="1"/>
  <c r="J1222" i="13"/>
  <c r="N1210" i="13"/>
  <c r="F45" i="32"/>
  <c r="O446" i="13"/>
  <c r="P446" i="13" s="1"/>
  <c r="J446" i="13"/>
  <c r="J448" i="13"/>
  <c r="O448" i="13"/>
  <c r="P448" i="13" s="1"/>
  <c r="O103" i="13"/>
  <c r="P103" i="13" s="1"/>
  <c r="J103" i="13"/>
  <c r="I204" i="20"/>
  <c r="O532" i="13"/>
  <c r="P532" i="13" s="1"/>
  <c r="J532" i="13"/>
  <c r="J706" i="13"/>
  <c r="O706" i="13"/>
  <c r="P706" i="13" s="1"/>
  <c r="N693" i="13"/>
  <c r="J707" i="13"/>
  <c r="O707" i="13"/>
  <c r="P707" i="13" s="1"/>
  <c r="O704" i="13"/>
  <c r="P704" i="13" s="1"/>
  <c r="J704" i="13"/>
  <c r="E711" i="13"/>
  <c r="F711" i="13"/>
  <c r="D712" i="13" s="1"/>
  <c r="E738" i="20"/>
  <c r="F738" i="20"/>
  <c r="D739" i="20" s="1"/>
  <c r="G738" i="20"/>
  <c r="E469" i="20"/>
  <c r="F469" i="20" s="1"/>
  <c r="J275" i="13"/>
  <c r="O275" i="13"/>
  <c r="P275" i="13" s="1"/>
  <c r="I281" i="13"/>
  <c r="J281" i="13" s="1"/>
  <c r="N951" i="13"/>
  <c r="O966" i="13"/>
  <c r="P966" i="13" s="1"/>
  <c r="J966" i="13"/>
  <c r="J276" i="13"/>
  <c r="O276" i="13"/>
  <c r="P276" i="13" s="1"/>
  <c r="N263" i="13"/>
  <c r="O278" i="13"/>
  <c r="P278" i="13" s="1"/>
  <c r="J278" i="13"/>
  <c r="I904" i="20"/>
  <c r="I112" i="20"/>
  <c r="N90" i="20"/>
  <c r="J876" i="13"/>
  <c r="O876" i="13"/>
  <c r="P876" i="13" s="1"/>
  <c r="I459" i="20"/>
  <c r="I1082" i="20"/>
  <c r="O192" i="13"/>
  <c r="P192" i="13" s="1"/>
  <c r="J192" i="13"/>
  <c r="O189" i="13"/>
  <c r="P189" i="13" s="1"/>
  <c r="J189" i="13"/>
  <c r="I637" i="20"/>
  <c r="N779" i="13"/>
  <c r="O794" i="13"/>
  <c r="P794" i="13" s="1"/>
  <c r="J794" i="13"/>
  <c r="E1095" i="20"/>
  <c r="F1095" i="20"/>
  <c r="N1037" i="13"/>
  <c r="J1049" i="13"/>
  <c r="O1049" i="13"/>
  <c r="P1049" i="13" s="1"/>
  <c r="I285" i="20"/>
  <c r="N269" i="20"/>
  <c r="N270" i="20" s="1"/>
  <c r="J108" i="13"/>
  <c r="O108" i="13"/>
  <c r="P108" i="13" s="1"/>
  <c r="J106" i="13"/>
  <c r="O106" i="13"/>
  <c r="P106" i="13" s="1"/>
  <c r="K41" i="32"/>
  <c r="D42" i="32" s="1"/>
  <c r="H41" i="32"/>
  <c r="I815" i="20"/>
  <c r="E1182" i="20"/>
  <c r="F1182" i="20" s="1"/>
  <c r="E1057" i="13"/>
  <c r="F1057" i="13"/>
  <c r="D1058" i="13" s="1"/>
  <c r="G1057" i="13"/>
  <c r="E1142" i="13"/>
  <c r="F1142" i="13" s="1"/>
  <c r="E293" i="20"/>
  <c r="F293" i="20" s="1"/>
  <c r="E381" i="20"/>
  <c r="F381" i="20" s="1"/>
  <c r="E827" i="20"/>
  <c r="F827" i="20" s="1"/>
  <c r="E648" i="20"/>
  <c r="F648" i="20" s="1"/>
  <c r="F560" i="20"/>
  <c r="E560" i="20"/>
  <c r="K42" i="49"/>
  <c r="D43" i="49" s="1"/>
  <c r="H42" i="49"/>
  <c r="J618" i="13"/>
  <c r="O618" i="13"/>
  <c r="P618" i="13" s="1"/>
  <c r="N447" i="20"/>
  <c r="N448" i="20" s="1"/>
  <c r="I462" i="20"/>
  <c r="I1083" i="20"/>
  <c r="N1070" i="20"/>
  <c r="N1071" i="20" s="1"/>
  <c r="F48" i="47"/>
  <c r="N625" i="20"/>
  <c r="N626" i="20" s="1"/>
  <c r="I639" i="20"/>
  <c r="J792" i="13"/>
  <c r="O792" i="13"/>
  <c r="P792" i="13" s="1"/>
  <c r="O447" i="13"/>
  <c r="P447" i="13" s="1"/>
  <c r="J447" i="13"/>
  <c r="I281" i="20"/>
  <c r="J105" i="13"/>
  <c r="O105" i="13"/>
  <c r="P105" i="13" s="1"/>
  <c r="J360" i="13"/>
  <c r="O360" i="13"/>
  <c r="P360" i="13" s="1"/>
  <c r="N536" i="20"/>
  <c r="N537" i="20" s="1"/>
  <c r="I550" i="20"/>
  <c r="E915" i="20"/>
  <c r="F915" i="20" s="1"/>
  <c r="E366" i="13"/>
  <c r="F366" i="13" s="1"/>
  <c r="E1229" i="13"/>
  <c r="F1229" i="13" s="1"/>
  <c r="J274" i="13"/>
  <c r="O274" i="13"/>
  <c r="P274" i="13" s="1"/>
  <c r="J277" i="13"/>
  <c r="O277" i="13"/>
  <c r="P277" i="13" s="1"/>
  <c r="I282" i="13"/>
  <c r="J282" i="13" s="1"/>
  <c r="I102" i="20"/>
  <c r="I729" i="20"/>
  <c r="N714" i="20"/>
  <c r="N715" i="20" s="1"/>
  <c r="H738" i="20"/>
  <c r="I738" i="20" s="1"/>
  <c r="G453" i="13"/>
  <c r="J1134" i="13"/>
  <c r="O1134" i="13"/>
  <c r="P1134" i="13" s="1"/>
  <c r="N1123" i="13"/>
  <c r="I1171" i="20"/>
  <c r="N1159" i="20"/>
  <c r="N1160" i="20" s="1"/>
  <c r="I997" i="20"/>
  <c r="N981" i="20"/>
  <c r="N982" i="20" s="1"/>
  <c r="I993" i="20"/>
  <c r="J194" i="13"/>
  <c r="O194" i="13"/>
  <c r="P194" i="13" s="1"/>
  <c r="J188" i="13"/>
  <c r="O190" i="13"/>
  <c r="P190" i="13" s="1"/>
  <c r="J190" i="13"/>
  <c r="I195" i="13"/>
  <c r="O790" i="13"/>
  <c r="P790" i="13" s="1"/>
  <c r="J790" i="13"/>
  <c r="O793" i="13"/>
  <c r="P793" i="13" s="1"/>
  <c r="J793" i="13"/>
  <c r="N435" i="13"/>
  <c r="O449" i="13"/>
  <c r="P449" i="13" s="1"/>
  <c r="J449" i="13"/>
  <c r="J1048" i="13"/>
  <c r="C77" i="11"/>
  <c r="A77" i="11"/>
  <c r="A78" i="11" s="1"/>
  <c r="J104" i="13"/>
  <c r="O104" i="13"/>
  <c r="P104" i="13" s="1"/>
  <c r="J107" i="13"/>
  <c r="O107" i="13"/>
  <c r="P107" i="13" s="1"/>
  <c r="N349" i="13"/>
  <c r="O364" i="13"/>
  <c r="P364" i="13" s="1"/>
  <c r="J364" i="13"/>
  <c r="O361" i="13"/>
  <c r="P361" i="13" s="1"/>
  <c r="J361" i="13"/>
  <c r="J363" i="13"/>
  <c r="O363" i="13"/>
  <c r="P363" i="13" s="1"/>
  <c r="D1006" i="20"/>
  <c r="G1005" i="20"/>
  <c r="I548" i="20"/>
  <c r="I192" i="20"/>
  <c r="I199" i="20"/>
  <c r="N180" i="20"/>
  <c r="N181" i="20" s="1"/>
  <c r="N358" i="20"/>
  <c r="N359" i="20" s="1"/>
  <c r="I374" i="20"/>
  <c r="O534" i="13"/>
  <c r="P534" i="13" s="1"/>
  <c r="J534" i="13"/>
  <c r="N521" i="13"/>
  <c r="J533" i="13"/>
  <c r="O533" i="13"/>
  <c r="P533" i="13" s="1"/>
  <c r="D828" i="20" l="1"/>
  <c r="H827" i="20"/>
  <c r="G827" i="20"/>
  <c r="D367" i="13"/>
  <c r="G366" i="13"/>
  <c r="D382" i="20"/>
  <c r="H381" i="20"/>
  <c r="G381" i="20"/>
  <c r="D1230" i="13"/>
  <c r="G1229" i="13"/>
  <c r="D916" i="20"/>
  <c r="H915" i="20"/>
  <c r="G915" i="20"/>
  <c r="D294" i="20"/>
  <c r="H293" i="20"/>
  <c r="G293" i="20"/>
  <c r="D197" i="13"/>
  <c r="G196" i="13"/>
  <c r="D470" i="20"/>
  <c r="H469" i="20"/>
  <c r="G469" i="20"/>
  <c r="D649" i="20"/>
  <c r="H648" i="20"/>
  <c r="G648" i="20"/>
  <c r="D1143" i="13"/>
  <c r="G1142" i="13"/>
  <c r="D1183" i="20"/>
  <c r="H1182" i="20"/>
  <c r="G1182" i="20"/>
  <c r="D884" i="13"/>
  <c r="G883" i="13"/>
  <c r="A79" i="11"/>
  <c r="C78" i="11"/>
  <c r="J195" i="13"/>
  <c r="O195" i="13"/>
  <c r="P195" i="13" s="1"/>
  <c r="N177" i="13"/>
  <c r="H1057" i="13"/>
  <c r="I1057" i="13"/>
  <c r="N780" i="13"/>
  <c r="O779" i="13"/>
  <c r="O780" i="13" s="1"/>
  <c r="E455" i="13"/>
  <c r="F455" i="13"/>
  <c r="D456" i="13" s="1"/>
  <c r="K43" i="49"/>
  <c r="D44" i="49" s="1"/>
  <c r="H43" i="49"/>
  <c r="E1058" i="13"/>
  <c r="F1058" i="13" s="1"/>
  <c r="K42" i="32"/>
  <c r="D43" i="32" s="1"/>
  <c r="H42" i="32"/>
  <c r="O951" i="13"/>
  <c r="O952" i="13" s="1"/>
  <c r="N952" i="13"/>
  <c r="E739" i="20"/>
  <c r="F739" i="20" s="1"/>
  <c r="F46" i="32"/>
  <c r="N608" i="13"/>
  <c r="O607" i="13"/>
  <c r="O608" i="13" s="1"/>
  <c r="F48" i="49"/>
  <c r="H969" i="13"/>
  <c r="I969" i="13"/>
  <c r="A97" i="41"/>
  <c r="N866" i="13"/>
  <c r="O865" i="13"/>
  <c r="O866" i="13" s="1"/>
  <c r="F971" i="13"/>
  <c r="D972" i="13" s="1"/>
  <c r="E971" i="13"/>
  <c r="E110" i="13"/>
  <c r="F110" i="13"/>
  <c r="D111" i="13" s="1"/>
  <c r="E797" i="13"/>
  <c r="F797" i="13" s="1"/>
  <c r="F49" i="47"/>
  <c r="D561" i="20"/>
  <c r="H560" i="20"/>
  <c r="D1096" i="20"/>
  <c r="H1095" i="20"/>
  <c r="E284" i="13"/>
  <c r="G284" i="13"/>
  <c r="F284" i="13"/>
  <c r="D285" i="13" s="1"/>
  <c r="E205" i="20"/>
  <c r="F205" i="20"/>
  <c r="D206" i="20" s="1"/>
  <c r="G205" i="20"/>
  <c r="H205" i="20"/>
  <c r="H796" i="13"/>
  <c r="I796" i="13"/>
  <c r="N350" i="13"/>
  <c r="O349" i="13"/>
  <c r="O350" i="13" s="1"/>
  <c r="O435" i="13"/>
  <c r="O436" i="13" s="1"/>
  <c r="N436" i="13"/>
  <c r="G560" i="20"/>
  <c r="N1038" i="13"/>
  <c r="O1037" i="13"/>
  <c r="O1038" i="13" s="1"/>
  <c r="N91" i="20"/>
  <c r="N26" i="20"/>
  <c r="O26" i="20" s="1"/>
  <c r="B95" i="2"/>
  <c r="E95" i="2"/>
  <c r="I1005" i="20"/>
  <c r="G970" i="13"/>
  <c r="F114" i="20"/>
  <c r="D115" i="20" s="1"/>
  <c r="E114" i="20"/>
  <c r="H623" i="13"/>
  <c r="I623" i="13"/>
  <c r="N264" i="13"/>
  <c r="O263" i="13"/>
  <c r="O264" i="13" s="1"/>
  <c r="E712" i="13"/>
  <c r="F712" i="13" s="1"/>
  <c r="K46" i="47"/>
  <c r="D47" i="47" s="1"/>
  <c r="H46" i="47"/>
  <c r="H109" i="13"/>
  <c r="I109" i="13"/>
  <c r="E541" i="13"/>
  <c r="F541" i="13" s="1"/>
  <c r="N522" i="13"/>
  <c r="O521" i="13"/>
  <c r="O522" i="13" s="1"/>
  <c r="E1006" i="20"/>
  <c r="F1006" i="20" s="1"/>
  <c r="C79" i="11"/>
  <c r="O1123" i="13"/>
  <c r="O1124" i="13" s="1"/>
  <c r="N1124" i="13"/>
  <c r="H453" i="13"/>
  <c r="I453" i="13"/>
  <c r="G1095" i="20"/>
  <c r="G711" i="13"/>
  <c r="O693" i="13"/>
  <c r="O694" i="13" s="1"/>
  <c r="N694" i="13"/>
  <c r="N1211" i="13"/>
  <c r="O1210" i="13"/>
  <c r="O1211" i="13" s="1"/>
  <c r="G283" i="13"/>
  <c r="G454" i="13"/>
  <c r="H540" i="13"/>
  <c r="I540" i="13"/>
  <c r="E624" i="13"/>
  <c r="F624" i="13" s="1"/>
  <c r="D625" i="13" l="1"/>
  <c r="G624" i="13"/>
  <c r="D713" i="13"/>
  <c r="G712" i="13"/>
  <c r="D740" i="20"/>
  <c r="G739" i="20"/>
  <c r="H739" i="20"/>
  <c r="D798" i="13"/>
  <c r="G797" i="13"/>
  <c r="D542" i="13"/>
  <c r="G541" i="13"/>
  <c r="D1007" i="20"/>
  <c r="G1006" i="20"/>
  <c r="H1006" i="20"/>
  <c r="D1059" i="13"/>
  <c r="G1058" i="13"/>
  <c r="K47" i="47"/>
  <c r="D48" i="47" s="1"/>
  <c r="H47" i="47"/>
  <c r="E115" i="20"/>
  <c r="F115" i="20"/>
  <c r="D116" i="20" s="1"/>
  <c r="G115" i="20"/>
  <c r="I1095" i="20"/>
  <c r="G972" i="13"/>
  <c r="E972" i="13"/>
  <c r="F972" i="13"/>
  <c r="D973" i="13" s="1"/>
  <c r="N178" i="13"/>
  <c r="O177" i="13"/>
  <c r="O178" i="13" s="1"/>
  <c r="I469" i="20"/>
  <c r="E367" i="13"/>
  <c r="F367" i="13"/>
  <c r="D368" i="13" s="1"/>
  <c r="G367" i="13"/>
  <c r="J540" i="13"/>
  <c r="H283" i="13"/>
  <c r="I283" i="13"/>
  <c r="H711" i="13"/>
  <c r="I711" i="13"/>
  <c r="J453" i="13"/>
  <c r="J109" i="13"/>
  <c r="O109" i="13"/>
  <c r="H114" i="20"/>
  <c r="H970" i="13"/>
  <c r="I970" i="13"/>
  <c r="J796" i="13"/>
  <c r="E206" i="20"/>
  <c r="F206" i="20"/>
  <c r="D207" i="20" s="1"/>
  <c r="H206" i="20"/>
  <c r="E1096" i="20"/>
  <c r="F1096" i="20" s="1"/>
  <c r="A98" i="41"/>
  <c r="F49" i="49"/>
  <c r="F47" i="32"/>
  <c r="K43" i="32"/>
  <c r="D44" i="32" s="1"/>
  <c r="H43" i="32"/>
  <c r="J1057" i="13"/>
  <c r="H883" i="13"/>
  <c r="I883" i="13"/>
  <c r="E1183" i="20"/>
  <c r="F1183" i="20" s="1"/>
  <c r="I648" i="20"/>
  <c r="E470" i="20"/>
  <c r="F470" i="20"/>
  <c r="D471" i="20" s="1"/>
  <c r="I293" i="20"/>
  <c r="E916" i="20"/>
  <c r="F916" i="20" s="1"/>
  <c r="I381" i="20"/>
  <c r="H454" i="13"/>
  <c r="I454" i="13"/>
  <c r="E111" i="13"/>
  <c r="F111" i="13" s="1"/>
  <c r="M109" i="13"/>
  <c r="G114" i="20"/>
  <c r="F50" i="47"/>
  <c r="J969" i="13"/>
  <c r="K44" i="49"/>
  <c r="D45" i="49" s="1"/>
  <c r="H44" i="49"/>
  <c r="G455" i="13"/>
  <c r="E884" i="13"/>
  <c r="F884" i="13"/>
  <c r="D885" i="13" s="1"/>
  <c r="H1142" i="13"/>
  <c r="I1142" i="13"/>
  <c r="E649" i="20"/>
  <c r="F649" i="20"/>
  <c r="D650" i="20" s="1"/>
  <c r="G649" i="20"/>
  <c r="H196" i="13"/>
  <c r="I196" i="13"/>
  <c r="F294" i="20"/>
  <c r="D295" i="20" s="1"/>
  <c r="E294" i="20"/>
  <c r="H1229" i="13"/>
  <c r="I1229" i="13"/>
  <c r="E382" i="20"/>
  <c r="F382" i="20"/>
  <c r="D383" i="20" s="1"/>
  <c r="G382" i="20"/>
  <c r="I827" i="20"/>
  <c r="H284" i="13"/>
  <c r="I284" i="13"/>
  <c r="E561" i="20"/>
  <c r="F561" i="20"/>
  <c r="D562" i="20" s="1"/>
  <c r="G561" i="20"/>
  <c r="H561" i="20"/>
  <c r="E456" i="13"/>
  <c r="F456" i="13" s="1"/>
  <c r="A80" i="11"/>
  <c r="A82" i="11" s="1"/>
  <c r="C80" i="11"/>
  <c r="I1182" i="20"/>
  <c r="I915" i="20"/>
  <c r="J623" i="13"/>
  <c r="B98" i="2"/>
  <c r="B99" i="2" s="1"/>
  <c r="C48" i="11"/>
  <c r="I205" i="20"/>
  <c r="E285" i="13"/>
  <c r="G285" i="13"/>
  <c r="F285" i="13"/>
  <c r="D286" i="13" s="1"/>
  <c r="I560" i="20"/>
  <c r="G110" i="13"/>
  <c r="G971" i="13"/>
  <c r="G1143" i="13"/>
  <c r="F1143" i="13"/>
  <c r="D1144" i="13" s="1"/>
  <c r="E1143" i="13"/>
  <c r="E197" i="13"/>
  <c r="F197" i="13" s="1"/>
  <c r="F1230" i="13"/>
  <c r="D1231" i="13" s="1"/>
  <c r="E1230" i="13"/>
  <c r="H366" i="13"/>
  <c r="I366" i="13"/>
  <c r="E828" i="20"/>
  <c r="F828" i="20" s="1"/>
  <c r="D457" i="13" l="1"/>
  <c r="G456" i="13"/>
  <c r="D1184" i="20"/>
  <c r="G1183" i="20"/>
  <c r="H1183" i="20"/>
  <c r="D829" i="20"/>
  <c r="G828" i="20"/>
  <c r="H828" i="20"/>
  <c r="D1097" i="20"/>
  <c r="H1096" i="20"/>
  <c r="G1096" i="20"/>
  <c r="D198" i="13"/>
  <c r="G197" i="13"/>
  <c r="D112" i="13"/>
  <c r="G111" i="13"/>
  <c r="D917" i="20"/>
  <c r="G916" i="20"/>
  <c r="H916" i="20"/>
  <c r="F295" i="20"/>
  <c r="D296" i="20" s="1"/>
  <c r="E295" i="20"/>
  <c r="H972" i="13"/>
  <c r="I972" i="13"/>
  <c r="K48" i="47"/>
  <c r="D49" i="47" s="1"/>
  <c r="H48" i="47"/>
  <c r="H624" i="13"/>
  <c r="I624" i="13"/>
  <c r="E562" i="20"/>
  <c r="F562" i="20" s="1"/>
  <c r="E383" i="20"/>
  <c r="F383" i="20" s="1"/>
  <c r="H294" i="20"/>
  <c r="J196" i="13"/>
  <c r="E650" i="20"/>
  <c r="F650" i="20" s="1"/>
  <c r="E885" i="13"/>
  <c r="F885" i="13" s="1"/>
  <c r="H455" i="13"/>
  <c r="I455" i="13"/>
  <c r="K44" i="32"/>
  <c r="D45" i="32" s="1"/>
  <c r="H44" i="32"/>
  <c r="G206" i="20"/>
  <c r="I206" i="20" s="1"/>
  <c r="I114" i="20"/>
  <c r="J283" i="13"/>
  <c r="H367" i="13"/>
  <c r="I367" i="13"/>
  <c r="E116" i="20"/>
  <c r="F116" i="20" s="1"/>
  <c r="H1058" i="13"/>
  <c r="I1058" i="13"/>
  <c r="E1007" i="20"/>
  <c r="F1007" i="20" s="1"/>
  <c r="E798" i="13"/>
  <c r="F798" i="13"/>
  <c r="D799" i="13" s="1"/>
  <c r="E625" i="13"/>
  <c r="F625" i="13" s="1"/>
  <c r="E1231" i="13"/>
  <c r="F1231" i="13" s="1"/>
  <c r="H1143" i="13"/>
  <c r="I1143" i="13"/>
  <c r="J1143" i="13" s="1"/>
  <c r="J883" i="13"/>
  <c r="F50" i="49"/>
  <c r="E740" i="20"/>
  <c r="F740" i="20" s="1"/>
  <c r="B100" i="2"/>
  <c r="B101" i="2" s="1"/>
  <c r="B102" i="2" s="1"/>
  <c r="B103" i="2" s="1"/>
  <c r="B104" i="2" s="1"/>
  <c r="E104" i="2"/>
  <c r="G294" i="20"/>
  <c r="G884" i="13"/>
  <c r="H470" i="20"/>
  <c r="F48" i="32"/>
  <c r="A99" i="41"/>
  <c r="A100" i="41" s="1"/>
  <c r="F207" i="20"/>
  <c r="D208" i="20" s="1"/>
  <c r="E207" i="20"/>
  <c r="G207" i="20"/>
  <c r="E368" i="13"/>
  <c r="F368" i="13" s="1"/>
  <c r="F973" i="13"/>
  <c r="D974" i="13" s="1"/>
  <c r="E973" i="13"/>
  <c r="F1059" i="13"/>
  <c r="D1060" i="13" s="1"/>
  <c r="E1059" i="13"/>
  <c r="H541" i="13"/>
  <c r="I541" i="13"/>
  <c r="I739" i="20"/>
  <c r="H712" i="13"/>
  <c r="I712" i="13"/>
  <c r="J712" i="13" s="1"/>
  <c r="J366" i="13"/>
  <c r="H110" i="13"/>
  <c r="I110" i="13"/>
  <c r="H285" i="13"/>
  <c r="I285" i="13"/>
  <c r="J285" i="13" s="1"/>
  <c r="E471" i="20"/>
  <c r="F471" i="20" s="1"/>
  <c r="H797" i="13"/>
  <c r="I797" i="13"/>
  <c r="G1230" i="13"/>
  <c r="E1144" i="13"/>
  <c r="F1144" i="13" s="1"/>
  <c r="H971" i="13"/>
  <c r="I971" i="13"/>
  <c r="F286" i="13"/>
  <c r="D287" i="13" s="1"/>
  <c r="E286" i="13"/>
  <c r="I561" i="20"/>
  <c r="J284" i="13"/>
  <c r="H382" i="20"/>
  <c r="J1229" i="13"/>
  <c r="H649" i="20"/>
  <c r="J1142" i="13"/>
  <c r="K45" i="49"/>
  <c r="D46" i="49" s="1"/>
  <c r="H45" i="49"/>
  <c r="J454" i="13"/>
  <c r="G470" i="20"/>
  <c r="J970" i="13"/>
  <c r="P109" i="13"/>
  <c r="J711" i="13"/>
  <c r="H115" i="20"/>
  <c r="I115" i="20" s="1"/>
  <c r="I1006" i="20"/>
  <c r="E542" i="13"/>
  <c r="F542" i="13" s="1"/>
  <c r="E713" i="13"/>
  <c r="F713" i="13" s="1"/>
  <c r="D543" i="13" l="1"/>
  <c r="G542" i="13"/>
  <c r="D886" i="13"/>
  <c r="G885" i="13"/>
  <c r="D563" i="20"/>
  <c r="H562" i="20"/>
  <c r="G562" i="20"/>
  <c r="D1145" i="13"/>
  <c r="G1144" i="13"/>
  <c r="D384" i="20"/>
  <c r="H383" i="20"/>
  <c r="G383" i="20"/>
  <c r="D651" i="20"/>
  <c r="H650" i="20"/>
  <c r="G650" i="20"/>
  <c r="D741" i="20"/>
  <c r="G740" i="20"/>
  <c r="H740" i="20"/>
  <c r="D117" i="20"/>
  <c r="G116" i="20"/>
  <c r="H116" i="20"/>
  <c r="D472" i="20"/>
  <c r="G471" i="20"/>
  <c r="H471" i="20"/>
  <c r="D626" i="13"/>
  <c r="G625" i="13"/>
  <c r="D714" i="13"/>
  <c r="G713" i="13"/>
  <c r="D369" i="13"/>
  <c r="G368" i="13"/>
  <c r="D1232" i="13"/>
  <c r="G1231" i="13"/>
  <c r="D1008" i="20"/>
  <c r="H1007" i="20"/>
  <c r="G1007" i="20"/>
  <c r="J971" i="13"/>
  <c r="F1060" i="13"/>
  <c r="D1061" i="13" s="1"/>
  <c r="E1060" i="13"/>
  <c r="A101" i="41"/>
  <c r="B103" i="41"/>
  <c r="B101" i="41"/>
  <c r="H884" i="13"/>
  <c r="I884" i="13"/>
  <c r="F296" i="20"/>
  <c r="D297" i="20" s="1"/>
  <c r="E296" i="20"/>
  <c r="E917" i="20"/>
  <c r="F917" i="20" s="1"/>
  <c r="F198" i="13"/>
  <c r="D199" i="13" s="1"/>
  <c r="E198" i="13"/>
  <c r="I649" i="20"/>
  <c r="H1230" i="13"/>
  <c r="I1230" i="13"/>
  <c r="M110" i="13"/>
  <c r="B106" i="2"/>
  <c r="B108" i="2" s="1"/>
  <c r="B110" i="2" s="1"/>
  <c r="B112" i="2" s="1"/>
  <c r="B113" i="2" s="1"/>
  <c r="G798" i="13"/>
  <c r="J367" i="13"/>
  <c r="J624" i="13"/>
  <c r="J972" i="13"/>
  <c r="H295" i="20"/>
  <c r="H111" i="13"/>
  <c r="M111" i="13" s="1"/>
  <c r="I111" i="13"/>
  <c r="E1184" i="20"/>
  <c r="F1184" i="20" s="1"/>
  <c r="O110" i="13"/>
  <c r="P110" i="13" s="1"/>
  <c r="J110" i="13"/>
  <c r="J541" i="13"/>
  <c r="E974" i="13"/>
  <c r="F974" i="13" s="1"/>
  <c r="I828" i="20"/>
  <c r="E208" i="20"/>
  <c r="F208" i="20"/>
  <c r="D209" i="20" s="1"/>
  <c r="F49" i="32"/>
  <c r="K45" i="32"/>
  <c r="D46" i="32" s="1"/>
  <c r="H45" i="32"/>
  <c r="I294" i="20"/>
  <c r="G295" i="20"/>
  <c r="I916" i="20"/>
  <c r="E112" i="13"/>
  <c r="F112" i="13"/>
  <c r="D113" i="13" s="1"/>
  <c r="I1096" i="20"/>
  <c r="E829" i="20"/>
  <c r="F829" i="20" s="1"/>
  <c r="H456" i="13"/>
  <c r="I456" i="13"/>
  <c r="I382" i="20"/>
  <c r="E799" i="13"/>
  <c r="F799" i="13" s="1"/>
  <c r="K49" i="47"/>
  <c r="D50" i="47" s="1"/>
  <c r="H49" i="47"/>
  <c r="K46" i="49"/>
  <c r="D47" i="49" s="1"/>
  <c r="H46" i="49"/>
  <c r="E287" i="13"/>
  <c r="F287" i="13" s="1"/>
  <c r="J797" i="13"/>
  <c r="G973" i="13"/>
  <c r="G286" i="13"/>
  <c r="G1059" i="13"/>
  <c r="H207" i="20"/>
  <c r="B100" i="41"/>
  <c r="I470" i="20"/>
  <c r="J1058" i="13"/>
  <c r="J455" i="13"/>
  <c r="H197" i="13"/>
  <c r="I197" i="13"/>
  <c r="E1097" i="20"/>
  <c r="F1097" i="20"/>
  <c r="D1098" i="20" s="1"/>
  <c r="I1183" i="20"/>
  <c r="E457" i="13"/>
  <c r="F457" i="13" s="1"/>
  <c r="D288" i="13" l="1"/>
  <c r="G287" i="13"/>
  <c r="D458" i="13"/>
  <c r="G457" i="13"/>
  <c r="D800" i="13"/>
  <c r="G799" i="13"/>
  <c r="D830" i="20"/>
  <c r="G829" i="20"/>
  <c r="H829" i="20"/>
  <c r="D918" i="20"/>
  <c r="G917" i="20"/>
  <c r="H917" i="20"/>
  <c r="D975" i="13"/>
  <c r="G974" i="13"/>
  <c r="D1185" i="20"/>
  <c r="H1184" i="20"/>
  <c r="G1184" i="20"/>
  <c r="E1098" i="20"/>
  <c r="F1098" i="20"/>
  <c r="D1099" i="20" s="1"/>
  <c r="F50" i="32"/>
  <c r="E1145" i="13"/>
  <c r="F1145" i="13" s="1"/>
  <c r="I207" i="20"/>
  <c r="K47" i="49"/>
  <c r="D48" i="49" s="1"/>
  <c r="H47" i="49"/>
  <c r="K46" i="32"/>
  <c r="D47" i="32" s="1"/>
  <c r="H46" i="32"/>
  <c r="J111" i="13"/>
  <c r="O111" i="13"/>
  <c r="P111" i="13" s="1"/>
  <c r="B114" i="2"/>
  <c r="B115" i="2" s="1"/>
  <c r="B116" i="2" s="1"/>
  <c r="B117" i="2" s="1"/>
  <c r="B118" i="2" s="1"/>
  <c r="B119" i="2" s="1"/>
  <c r="B120" i="2" s="1"/>
  <c r="B121" i="2" s="1"/>
  <c r="E121" i="2"/>
  <c r="H296" i="20"/>
  <c r="J884" i="13"/>
  <c r="A103" i="41"/>
  <c r="B104" i="41"/>
  <c r="E1232" i="13"/>
  <c r="F1232" i="13"/>
  <c r="D1233" i="13" s="1"/>
  <c r="H625" i="13"/>
  <c r="I625" i="13"/>
  <c r="E472" i="20"/>
  <c r="F472" i="20"/>
  <c r="D473" i="20" s="1"/>
  <c r="E117" i="20"/>
  <c r="F117" i="20" s="1"/>
  <c r="I383" i="20"/>
  <c r="E886" i="13"/>
  <c r="F886" i="13" s="1"/>
  <c r="E209" i="20"/>
  <c r="F209" i="20" s="1"/>
  <c r="J1230" i="13"/>
  <c r="E297" i="20"/>
  <c r="F297" i="20"/>
  <c r="D298" i="20" s="1"/>
  <c r="G297" i="20"/>
  <c r="E1061" i="13"/>
  <c r="F1061" i="13" s="1"/>
  <c r="H1231" i="13"/>
  <c r="I1231" i="13"/>
  <c r="E741" i="20"/>
  <c r="F741" i="20"/>
  <c r="D742" i="20" s="1"/>
  <c r="H885" i="13"/>
  <c r="I885" i="13"/>
  <c r="J885" i="13" s="1"/>
  <c r="H1097" i="20"/>
  <c r="J197" i="13"/>
  <c r="H1059" i="13"/>
  <c r="I1059" i="13"/>
  <c r="H286" i="13"/>
  <c r="I286" i="13"/>
  <c r="H973" i="13"/>
  <c r="I973" i="13"/>
  <c r="H208" i="20"/>
  <c r="H798" i="13"/>
  <c r="I798" i="13"/>
  <c r="G198" i="13"/>
  <c r="G296" i="20"/>
  <c r="G1060" i="13"/>
  <c r="I1007" i="20"/>
  <c r="H368" i="13"/>
  <c r="I368" i="13"/>
  <c r="H713" i="13"/>
  <c r="I713" i="13"/>
  <c r="F626" i="13"/>
  <c r="D627" i="13" s="1"/>
  <c r="E626" i="13"/>
  <c r="G626" i="13"/>
  <c r="I740" i="20"/>
  <c r="I650" i="20"/>
  <c r="E384" i="20"/>
  <c r="F384" i="20"/>
  <c r="D385" i="20" s="1"/>
  <c r="I562" i="20"/>
  <c r="H542" i="13"/>
  <c r="I542" i="13"/>
  <c r="K50" i="47"/>
  <c r="H50" i="47"/>
  <c r="H51" i="47" s="1"/>
  <c r="F113" i="13"/>
  <c r="D114" i="13" s="1"/>
  <c r="E113" i="13"/>
  <c r="E199" i="13"/>
  <c r="F199" i="13" s="1"/>
  <c r="G1097" i="20"/>
  <c r="J456" i="13"/>
  <c r="G112" i="13"/>
  <c r="G208" i="20"/>
  <c r="I295" i="20"/>
  <c r="E1008" i="20"/>
  <c r="F1008" i="20"/>
  <c r="D1009" i="20" s="1"/>
  <c r="G1008" i="20"/>
  <c r="H1008" i="20"/>
  <c r="E369" i="13"/>
  <c r="F369" i="13" s="1"/>
  <c r="F714" i="13"/>
  <c r="D715" i="13" s="1"/>
  <c r="E714" i="13"/>
  <c r="I471" i="20"/>
  <c r="I116" i="20"/>
  <c r="E651" i="20"/>
  <c r="F651" i="20" s="1"/>
  <c r="H1144" i="13"/>
  <c r="I1144" i="13"/>
  <c r="F563" i="20"/>
  <c r="D564" i="20" s="1"/>
  <c r="E563" i="20"/>
  <c r="E543" i="13"/>
  <c r="F543" i="13" s="1"/>
  <c r="D652" i="20" l="1"/>
  <c r="H651" i="20"/>
  <c r="G651" i="20"/>
  <c r="D887" i="13"/>
  <c r="G886" i="13"/>
  <c r="D210" i="20"/>
  <c r="G209" i="20"/>
  <c r="H209" i="20"/>
  <c r="D370" i="13"/>
  <c r="G369" i="13"/>
  <c r="D544" i="13"/>
  <c r="G543" i="13"/>
  <c r="D200" i="13"/>
  <c r="G199" i="13"/>
  <c r="D1062" i="13"/>
  <c r="G1061" i="13"/>
  <c r="D118" i="20"/>
  <c r="G117" i="20"/>
  <c r="H117" i="20"/>
  <c r="D1146" i="13"/>
  <c r="G1145" i="13"/>
  <c r="E385" i="20"/>
  <c r="F385" i="20"/>
  <c r="D386" i="20" s="1"/>
  <c r="J286" i="13"/>
  <c r="E742" i="20"/>
  <c r="F742" i="20" s="1"/>
  <c r="E1233" i="13"/>
  <c r="F1233" i="13"/>
  <c r="D1234" i="13" s="1"/>
  <c r="A104" i="41"/>
  <c r="E246" i="2"/>
  <c r="K48" i="49"/>
  <c r="D49" i="49" s="1"/>
  <c r="H48" i="49"/>
  <c r="H457" i="13"/>
  <c r="I457" i="13"/>
  <c r="J457" i="13" s="1"/>
  <c r="J1144" i="13"/>
  <c r="E1009" i="20"/>
  <c r="F1009" i="20"/>
  <c r="D1010" i="20" s="1"/>
  <c r="G1009" i="20"/>
  <c r="H1009" i="20"/>
  <c r="H112" i="13"/>
  <c r="I112" i="13"/>
  <c r="H626" i="13"/>
  <c r="I626" i="13"/>
  <c r="J626" i="13" s="1"/>
  <c r="H198" i="13"/>
  <c r="I198" i="13"/>
  <c r="E298" i="20"/>
  <c r="F298" i="20" s="1"/>
  <c r="H974" i="13"/>
  <c r="I974" i="13"/>
  <c r="J974" i="13" s="1"/>
  <c r="E918" i="20"/>
  <c r="F918" i="20"/>
  <c r="D919" i="20" s="1"/>
  <c r="E830" i="20"/>
  <c r="F830" i="20"/>
  <c r="D831" i="20" s="1"/>
  <c r="E458" i="13"/>
  <c r="F458" i="13" s="1"/>
  <c r="E564" i="20"/>
  <c r="F564" i="20"/>
  <c r="D565" i="20" s="1"/>
  <c r="G564" i="20"/>
  <c r="J713" i="13"/>
  <c r="E473" i="20"/>
  <c r="F473" i="20" s="1"/>
  <c r="E1099" i="20"/>
  <c r="F1099" i="20" s="1"/>
  <c r="E1185" i="20"/>
  <c r="F1185" i="20" s="1"/>
  <c r="H563" i="20"/>
  <c r="G563" i="20"/>
  <c r="G714" i="13"/>
  <c r="G113" i="13"/>
  <c r="J542" i="13"/>
  <c r="H384" i="20"/>
  <c r="J368" i="13"/>
  <c r="H1060" i="13"/>
  <c r="I1060" i="13"/>
  <c r="J1060" i="13" s="1"/>
  <c r="J973" i="13"/>
  <c r="J1059" i="13"/>
  <c r="I1097" i="20"/>
  <c r="H741" i="20"/>
  <c r="J1231" i="13"/>
  <c r="H472" i="20"/>
  <c r="J625" i="13"/>
  <c r="G1232" i="13"/>
  <c r="B123" i="2"/>
  <c r="D125" i="2"/>
  <c r="K47" i="32"/>
  <c r="D48" i="32" s="1"/>
  <c r="H47" i="32"/>
  <c r="H1098" i="20"/>
  <c r="E975" i="13"/>
  <c r="F975" i="13"/>
  <c r="D976" i="13" s="1"/>
  <c r="H799" i="13"/>
  <c r="I799" i="13"/>
  <c r="J799" i="13" s="1"/>
  <c r="H287" i="13"/>
  <c r="I287" i="13"/>
  <c r="J287" i="13" s="1"/>
  <c r="E715" i="13"/>
  <c r="F715" i="13" s="1"/>
  <c r="I1008" i="20"/>
  <c r="E114" i="13"/>
  <c r="F114" i="13" s="1"/>
  <c r="G384" i="20"/>
  <c r="E627" i="13"/>
  <c r="F627" i="13" s="1"/>
  <c r="J798" i="13"/>
  <c r="I208" i="20"/>
  <c r="G741" i="20"/>
  <c r="H297" i="20"/>
  <c r="I297" i="20" s="1"/>
  <c r="G472" i="20"/>
  <c r="I296" i="20"/>
  <c r="G1098" i="20"/>
  <c r="I1184" i="20"/>
  <c r="I917" i="20"/>
  <c r="I829" i="20"/>
  <c r="E800" i="13"/>
  <c r="F800" i="13" s="1"/>
  <c r="E288" i="13"/>
  <c r="F288" i="13"/>
  <c r="D289" i="13" s="1"/>
  <c r="D716" i="13" l="1"/>
  <c r="G715" i="13"/>
  <c r="D801" i="13"/>
  <c r="G800" i="13"/>
  <c r="D115" i="13"/>
  <c r="G114" i="13"/>
  <c r="D1100" i="20"/>
  <c r="G1099" i="20"/>
  <c r="H1099" i="20"/>
  <c r="D628" i="13"/>
  <c r="G627" i="13"/>
  <c r="D459" i="13"/>
  <c r="G458" i="13"/>
  <c r="D1186" i="20"/>
  <c r="G1185" i="20"/>
  <c r="H1185" i="20"/>
  <c r="D474" i="20"/>
  <c r="G473" i="20"/>
  <c r="H473" i="20"/>
  <c r="I473" i="20" s="1"/>
  <c r="D299" i="20"/>
  <c r="G298" i="20"/>
  <c r="H298" i="20"/>
  <c r="I298" i="20" s="1"/>
  <c r="D743" i="20"/>
  <c r="H742" i="20"/>
  <c r="I742" i="20" s="1"/>
  <c r="G742" i="20"/>
  <c r="I563" i="20"/>
  <c r="E831" i="20"/>
  <c r="F831" i="20" s="1"/>
  <c r="I117" i="20"/>
  <c r="E1062" i="13"/>
  <c r="F1062" i="13"/>
  <c r="D1063" i="13" s="1"/>
  <c r="E544" i="13"/>
  <c r="F544" i="13"/>
  <c r="D545" i="13" s="1"/>
  <c r="G975" i="13"/>
  <c r="K48" i="32"/>
  <c r="D49" i="32" s="1"/>
  <c r="H48" i="32"/>
  <c r="H1232" i="13"/>
  <c r="I1232" i="13"/>
  <c r="I384" i="20"/>
  <c r="H714" i="13"/>
  <c r="I714" i="13"/>
  <c r="E565" i="20"/>
  <c r="F565" i="20"/>
  <c r="D566" i="20" s="1"/>
  <c r="G565" i="20"/>
  <c r="K49" i="49"/>
  <c r="D50" i="49" s="1"/>
  <c r="H49" i="49"/>
  <c r="H199" i="13"/>
  <c r="I199" i="13"/>
  <c r="J199" i="13" s="1"/>
  <c r="H369" i="13"/>
  <c r="I369" i="13"/>
  <c r="E210" i="20"/>
  <c r="F210" i="20" s="1"/>
  <c r="E289" i="13"/>
  <c r="F289" i="13" s="1"/>
  <c r="E919" i="20"/>
  <c r="F919" i="20"/>
  <c r="D920" i="20" s="1"/>
  <c r="G919" i="20"/>
  <c r="G288" i="13"/>
  <c r="I741" i="20"/>
  <c r="H830" i="20"/>
  <c r="H918" i="20"/>
  <c r="J198" i="13"/>
  <c r="J112" i="13"/>
  <c r="O112" i="13"/>
  <c r="P112" i="13" s="1"/>
  <c r="N91" i="13"/>
  <c r="E1010" i="20"/>
  <c r="F1010" i="20"/>
  <c r="D1011" i="20" s="1"/>
  <c r="G1233" i="13"/>
  <c r="H385" i="20"/>
  <c r="H1145" i="13"/>
  <c r="I1145" i="13"/>
  <c r="E118" i="20"/>
  <c r="F118" i="20" s="1"/>
  <c r="E200" i="13"/>
  <c r="F200" i="13" s="1"/>
  <c r="E370" i="13"/>
  <c r="F370" i="13" s="1"/>
  <c r="H886" i="13"/>
  <c r="I886" i="13"/>
  <c r="I651" i="20"/>
  <c r="E976" i="13"/>
  <c r="F976" i="13"/>
  <c r="D977" i="13" s="1"/>
  <c r="I472" i="20"/>
  <c r="H113" i="13"/>
  <c r="I113" i="13"/>
  <c r="J113" i="13" s="1"/>
  <c r="I1009" i="20"/>
  <c r="E1234" i="13"/>
  <c r="F1234" i="13"/>
  <c r="D1235" i="13" s="1"/>
  <c r="E386" i="20"/>
  <c r="F386" i="20"/>
  <c r="D387" i="20" s="1"/>
  <c r="G386" i="20"/>
  <c r="H386" i="20"/>
  <c r="I386" i="20" s="1"/>
  <c r="I1098" i="20"/>
  <c r="B125" i="2"/>
  <c r="D298" i="2"/>
  <c r="H564" i="20"/>
  <c r="I564" i="20" s="1"/>
  <c r="G830" i="20"/>
  <c r="G918" i="20"/>
  <c r="M91" i="13"/>
  <c r="M112" i="13"/>
  <c r="A105" i="41"/>
  <c r="B105" i="41"/>
  <c r="G385" i="20"/>
  <c r="E1146" i="13"/>
  <c r="F1146" i="13"/>
  <c r="D1147" i="13" s="1"/>
  <c r="H1061" i="13"/>
  <c r="I1061" i="13"/>
  <c r="H543" i="13"/>
  <c r="I543" i="13"/>
  <c r="I209" i="20"/>
  <c r="E887" i="13"/>
  <c r="F887" i="13"/>
  <c r="D888" i="13" s="1"/>
  <c r="G887" i="13"/>
  <c r="F652" i="20"/>
  <c r="D653" i="20" s="1"/>
  <c r="E652" i="20"/>
  <c r="D832" i="20" l="1"/>
  <c r="H831" i="20"/>
  <c r="G831" i="20"/>
  <c r="D211" i="20"/>
  <c r="H210" i="20"/>
  <c r="G210" i="20"/>
  <c r="D371" i="13"/>
  <c r="G370" i="13"/>
  <c r="D290" i="13"/>
  <c r="G289" i="13"/>
  <c r="D201" i="13"/>
  <c r="G200" i="13"/>
  <c r="D119" i="20"/>
  <c r="G118" i="20"/>
  <c r="H118" i="20"/>
  <c r="I118" i="20" s="1"/>
  <c r="E299" i="20"/>
  <c r="F299" i="20"/>
  <c r="D300" i="20" s="1"/>
  <c r="G299" i="20"/>
  <c r="H299" i="20"/>
  <c r="I299" i="20" s="1"/>
  <c r="E920" i="20"/>
  <c r="F920" i="20" s="1"/>
  <c r="E743" i="20"/>
  <c r="F743" i="20" s="1"/>
  <c r="H627" i="13"/>
  <c r="I627" i="13"/>
  <c r="J627" i="13" s="1"/>
  <c r="E1100" i="20"/>
  <c r="F1100" i="20"/>
  <c r="D1101" i="20" s="1"/>
  <c r="F801" i="13"/>
  <c r="D802" i="13" s="1"/>
  <c r="G801" i="13"/>
  <c r="E801" i="13"/>
  <c r="M92" i="13"/>
  <c r="N22" i="13"/>
  <c r="F1235" i="13"/>
  <c r="D1236" i="13" s="1"/>
  <c r="E1235" i="13"/>
  <c r="E1011" i="20"/>
  <c r="F1011" i="20"/>
  <c r="D1012" i="20" s="1"/>
  <c r="E977" i="13"/>
  <c r="F977" i="13" s="1"/>
  <c r="I830" i="20"/>
  <c r="E566" i="20"/>
  <c r="F566" i="20" s="1"/>
  <c r="G652" i="20"/>
  <c r="G1146" i="13"/>
  <c r="E387" i="20"/>
  <c r="F387" i="20" s="1"/>
  <c r="G1234" i="13"/>
  <c r="G976" i="13"/>
  <c r="J886" i="13"/>
  <c r="J1145" i="13"/>
  <c r="H1010" i="20"/>
  <c r="H288" i="13"/>
  <c r="I288" i="13"/>
  <c r="J288" i="13" s="1"/>
  <c r="K49" i="32"/>
  <c r="D50" i="32" s="1"/>
  <c r="H49" i="32"/>
  <c r="G544" i="13"/>
  <c r="E1186" i="20"/>
  <c r="F1186" i="20" s="1"/>
  <c r="E628" i="13"/>
  <c r="F628" i="13" s="1"/>
  <c r="H114" i="13"/>
  <c r="I114" i="13"/>
  <c r="J114" i="13" s="1"/>
  <c r="H715" i="13"/>
  <c r="I715" i="13"/>
  <c r="E653" i="20"/>
  <c r="F653" i="20" s="1"/>
  <c r="I385" i="20"/>
  <c r="I918" i="20"/>
  <c r="E545" i="13"/>
  <c r="F545" i="13"/>
  <c r="D546" i="13" s="1"/>
  <c r="E1063" i="13"/>
  <c r="F1063" i="13" s="1"/>
  <c r="I1185" i="20"/>
  <c r="E459" i="13"/>
  <c r="F459" i="13" s="1"/>
  <c r="H800" i="13"/>
  <c r="I800" i="13"/>
  <c r="H652" i="20"/>
  <c r="H887" i="13"/>
  <c r="I887" i="13"/>
  <c r="J887" i="13" s="1"/>
  <c r="J543" i="13"/>
  <c r="E1147" i="13"/>
  <c r="F1147" i="13" s="1"/>
  <c r="H1233" i="13"/>
  <c r="I1233" i="13"/>
  <c r="J1233" i="13" s="1"/>
  <c r="K50" i="49"/>
  <c r="H50" i="49"/>
  <c r="H51" i="49" s="1"/>
  <c r="E888" i="13"/>
  <c r="F888" i="13"/>
  <c r="D889" i="13" s="1"/>
  <c r="G888" i="13"/>
  <c r="C28" i="20"/>
  <c r="B140" i="2"/>
  <c r="C28" i="13"/>
  <c r="J1061" i="13"/>
  <c r="G1010" i="20"/>
  <c r="O22" i="13"/>
  <c r="O91" i="13"/>
  <c r="O92" i="13" s="1"/>
  <c r="N92" i="13"/>
  <c r="H919" i="20"/>
  <c r="I919" i="20" s="1"/>
  <c r="J369" i="13"/>
  <c r="H565" i="20"/>
  <c r="J714" i="13"/>
  <c r="J1232" i="13"/>
  <c r="H975" i="13"/>
  <c r="I975" i="13"/>
  <c r="G1062" i="13"/>
  <c r="E474" i="20"/>
  <c r="F474" i="20" s="1"/>
  <c r="H458" i="13"/>
  <c r="I458" i="13"/>
  <c r="J458" i="13" s="1"/>
  <c r="I1099" i="20"/>
  <c r="E115" i="13"/>
  <c r="F115" i="13"/>
  <c r="D116" i="13" s="1"/>
  <c r="G716" i="13"/>
  <c r="E716" i="13"/>
  <c r="F716" i="13"/>
  <c r="D717" i="13" s="1"/>
  <c r="D460" i="13" l="1"/>
  <c r="G459" i="13"/>
  <c r="D388" i="20"/>
  <c r="H387" i="20"/>
  <c r="I387" i="20" s="1"/>
  <c r="G387" i="20"/>
  <c r="D1187" i="20"/>
  <c r="G1186" i="20"/>
  <c r="H1186" i="20"/>
  <c r="I1186" i="20" s="1"/>
  <c r="D978" i="13"/>
  <c r="G977" i="13"/>
  <c r="D921" i="20"/>
  <c r="G920" i="20"/>
  <c r="H920" i="20"/>
  <c r="D475" i="20"/>
  <c r="G474" i="20"/>
  <c r="H474" i="20"/>
  <c r="I474" i="20" s="1"/>
  <c r="D1064" i="13"/>
  <c r="G1063" i="13"/>
  <c r="D629" i="13"/>
  <c r="G628" i="13"/>
  <c r="D1148" i="13"/>
  <c r="G1147" i="13"/>
  <c r="D654" i="20"/>
  <c r="H653" i="20"/>
  <c r="I653" i="20" s="1"/>
  <c r="G653" i="20"/>
  <c r="D567" i="20"/>
  <c r="G566" i="20"/>
  <c r="H566" i="20"/>
  <c r="I566" i="20" s="1"/>
  <c r="D744" i="20"/>
  <c r="G743" i="20"/>
  <c r="H743" i="20"/>
  <c r="I743" i="20" s="1"/>
  <c r="K50" i="32"/>
  <c r="H50" i="32"/>
  <c r="H51" i="32" s="1"/>
  <c r="E1012" i="20"/>
  <c r="F1012" i="20"/>
  <c r="D1013" i="20" s="1"/>
  <c r="G1012" i="20"/>
  <c r="H801" i="13"/>
  <c r="I801" i="13"/>
  <c r="J801" i="13" s="1"/>
  <c r="F201" i="13"/>
  <c r="D202" i="13" s="1"/>
  <c r="E201" i="13"/>
  <c r="F371" i="13"/>
  <c r="D372" i="13" s="1"/>
  <c r="G371" i="13"/>
  <c r="E371" i="13"/>
  <c r="E717" i="13"/>
  <c r="F717" i="13"/>
  <c r="D718" i="13" s="1"/>
  <c r="G717" i="13"/>
  <c r="G115" i="13"/>
  <c r="I565" i="20"/>
  <c r="B141" i="2"/>
  <c r="B142" i="2" s="1"/>
  <c r="B143" i="2" s="1"/>
  <c r="B144" i="2" s="1"/>
  <c r="E889" i="13"/>
  <c r="F889" i="13"/>
  <c r="D890" i="13" s="1"/>
  <c r="E546" i="13"/>
  <c r="F546" i="13"/>
  <c r="D547" i="13" s="1"/>
  <c r="H976" i="13"/>
  <c r="I976" i="13"/>
  <c r="N23" i="13"/>
  <c r="G27" i="2"/>
  <c r="L27" i="2" s="1"/>
  <c r="E802" i="13"/>
  <c r="F802" i="13" s="1"/>
  <c r="H289" i="13"/>
  <c r="I289" i="13"/>
  <c r="J289" i="13" s="1"/>
  <c r="I1010" i="20"/>
  <c r="F1236" i="13"/>
  <c r="D1237" i="13" s="1"/>
  <c r="G1236" i="13"/>
  <c r="E1236" i="13"/>
  <c r="E1101" i="20"/>
  <c r="F1101" i="20"/>
  <c r="D1102" i="20" s="1"/>
  <c r="G1101" i="20"/>
  <c r="H1062" i="13"/>
  <c r="I1062" i="13"/>
  <c r="J1062" i="13" s="1"/>
  <c r="I652" i="20"/>
  <c r="H544" i="13"/>
  <c r="I544" i="13"/>
  <c r="J544" i="13" s="1"/>
  <c r="H1234" i="13"/>
  <c r="I1234" i="13"/>
  <c r="H1011" i="20"/>
  <c r="G1235" i="13"/>
  <c r="H1100" i="20"/>
  <c r="F300" i="20"/>
  <c r="D301" i="20" s="1"/>
  <c r="E300" i="20"/>
  <c r="G300" i="20"/>
  <c r="H300" i="20"/>
  <c r="I300" i="20" s="1"/>
  <c r="E119" i="20"/>
  <c r="F119" i="20" s="1"/>
  <c r="E290" i="13"/>
  <c r="F290" i="13"/>
  <c r="D291" i="13" s="1"/>
  <c r="I210" i="20"/>
  <c r="I831" i="20"/>
  <c r="E116" i="13"/>
  <c r="F116" i="13"/>
  <c r="D117" i="13" s="1"/>
  <c r="H888" i="13"/>
  <c r="I888" i="13"/>
  <c r="H716" i="13"/>
  <c r="I716" i="13"/>
  <c r="J716" i="13" s="1"/>
  <c r="J975" i="13"/>
  <c r="O23" i="13"/>
  <c r="P22" i="13"/>
  <c r="P23" i="13" s="1"/>
  <c r="J800" i="13"/>
  <c r="G545" i="13"/>
  <c r="J715" i="13"/>
  <c r="H1146" i="13"/>
  <c r="I1146" i="13"/>
  <c r="G1011" i="20"/>
  <c r="G1100" i="20"/>
  <c r="H200" i="13"/>
  <c r="I200" i="13"/>
  <c r="H370" i="13"/>
  <c r="I370" i="13"/>
  <c r="E211" i="20"/>
  <c r="F211" i="20" s="1"/>
  <c r="E832" i="20"/>
  <c r="F832" i="20" s="1"/>
  <c r="D833" i="20" l="1"/>
  <c r="G832" i="20"/>
  <c r="H832" i="20"/>
  <c r="I832" i="20" s="1"/>
  <c r="D212" i="20"/>
  <c r="H211" i="20"/>
  <c r="G211" i="20"/>
  <c r="D120" i="20"/>
  <c r="H119" i="20"/>
  <c r="I119" i="20" s="1"/>
  <c r="G119" i="20"/>
  <c r="D803" i="13"/>
  <c r="G802" i="13"/>
  <c r="E117" i="13"/>
  <c r="F117" i="13" s="1"/>
  <c r="H717" i="13"/>
  <c r="I717" i="13"/>
  <c r="J717" i="13" s="1"/>
  <c r="E202" i="13"/>
  <c r="F202" i="13"/>
  <c r="D203" i="13" s="1"/>
  <c r="G202" i="13"/>
  <c r="H628" i="13"/>
  <c r="I628" i="13"/>
  <c r="H545" i="13"/>
  <c r="I545" i="13"/>
  <c r="J545" i="13" s="1"/>
  <c r="G116" i="13"/>
  <c r="H1235" i="13"/>
  <c r="I1235" i="13"/>
  <c r="J1235" i="13" s="1"/>
  <c r="E1102" i="20"/>
  <c r="F1102" i="20"/>
  <c r="D1103" i="20" s="1"/>
  <c r="E1237" i="13"/>
  <c r="F1237" i="13" s="1"/>
  <c r="E547" i="13"/>
  <c r="F547" i="13"/>
  <c r="D548" i="13" s="1"/>
  <c r="G889" i="13"/>
  <c r="E718" i="13"/>
  <c r="F718" i="13" s="1"/>
  <c r="E372" i="13"/>
  <c r="F372" i="13" s="1"/>
  <c r="E1013" i="20"/>
  <c r="F1013" i="20" s="1"/>
  <c r="F654" i="20"/>
  <c r="D655" i="20" s="1"/>
  <c r="E654" i="20"/>
  <c r="E629" i="13"/>
  <c r="F629" i="13" s="1"/>
  <c r="E921" i="20"/>
  <c r="F921" i="20" s="1"/>
  <c r="E388" i="20"/>
  <c r="F388" i="20"/>
  <c r="D389" i="20" s="1"/>
  <c r="J370" i="13"/>
  <c r="I1100" i="20"/>
  <c r="H1236" i="13"/>
  <c r="I1236" i="13"/>
  <c r="J1236" i="13" s="1"/>
  <c r="G890" i="13"/>
  <c r="E890" i="13"/>
  <c r="F890" i="13"/>
  <c r="D891" i="13" s="1"/>
  <c r="E291" i="13"/>
  <c r="F291" i="13" s="1"/>
  <c r="J200" i="13"/>
  <c r="J1146" i="13"/>
  <c r="J888" i="13"/>
  <c r="G290" i="13"/>
  <c r="I1011" i="20"/>
  <c r="E567" i="20"/>
  <c r="F567" i="20" s="1"/>
  <c r="H1147" i="13"/>
  <c r="I1147" i="13"/>
  <c r="J1147" i="13" s="1"/>
  <c r="H1063" i="13"/>
  <c r="I1063" i="13"/>
  <c r="J1063" i="13" s="1"/>
  <c r="E475" i="20"/>
  <c r="F475" i="20"/>
  <c r="D476" i="20" s="1"/>
  <c r="H977" i="13"/>
  <c r="I977" i="13"/>
  <c r="J977" i="13" s="1"/>
  <c r="E1187" i="20"/>
  <c r="F1187" i="20" s="1"/>
  <c r="H459" i="13"/>
  <c r="I459" i="13"/>
  <c r="J459" i="13" s="1"/>
  <c r="B145" i="2"/>
  <c r="B146" i="2" s="1"/>
  <c r="H371" i="13"/>
  <c r="I371" i="13"/>
  <c r="J371" i="13" s="1"/>
  <c r="E301" i="20"/>
  <c r="F301" i="20"/>
  <c r="D302" i="20" s="1"/>
  <c r="J1234" i="13"/>
  <c r="H1101" i="20"/>
  <c r="I1101" i="20" s="1"/>
  <c r="J976" i="13"/>
  <c r="G546" i="13"/>
  <c r="E145" i="2"/>
  <c r="H115" i="13"/>
  <c r="I115" i="13"/>
  <c r="G201" i="13"/>
  <c r="H1012" i="20"/>
  <c r="I1012" i="20" s="1"/>
  <c r="E744" i="20"/>
  <c r="F744" i="20" s="1"/>
  <c r="E1148" i="13"/>
  <c r="F1148" i="13" s="1"/>
  <c r="E1064" i="13"/>
  <c r="F1064" i="13" s="1"/>
  <c r="I920" i="20"/>
  <c r="E978" i="13"/>
  <c r="F978" i="13" s="1"/>
  <c r="E460" i="13"/>
  <c r="F460" i="13"/>
  <c r="D461" i="13" s="1"/>
  <c r="D1149" i="13" l="1"/>
  <c r="G1148" i="13"/>
  <c r="D373" i="13"/>
  <c r="G372" i="13"/>
  <c r="D118" i="13"/>
  <c r="G117" i="13"/>
  <c r="D979" i="13"/>
  <c r="G978" i="13"/>
  <c r="D292" i="13"/>
  <c r="G291" i="13"/>
  <c r="D1238" i="13"/>
  <c r="G1237" i="13"/>
  <c r="D1188" i="20"/>
  <c r="H1187" i="20"/>
  <c r="G1187" i="20"/>
  <c r="D630" i="13"/>
  <c r="G629" i="13"/>
  <c r="D745" i="20"/>
  <c r="G744" i="20"/>
  <c r="H744" i="20"/>
  <c r="I744" i="20" s="1"/>
  <c r="D719" i="13"/>
  <c r="G718" i="13"/>
  <c r="D1065" i="13"/>
  <c r="G1064" i="13"/>
  <c r="D568" i="20"/>
  <c r="G567" i="20"/>
  <c r="H567" i="20"/>
  <c r="I567" i="20" s="1"/>
  <c r="D922" i="20"/>
  <c r="G921" i="20"/>
  <c r="H921" i="20"/>
  <c r="I921" i="20" s="1"/>
  <c r="D1014" i="20"/>
  <c r="G1013" i="20"/>
  <c r="H1013" i="20"/>
  <c r="E655" i="20"/>
  <c r="F655" i="20"/>
  <c r="D656" i="20" s="1"/>
  <c r="G655" i="20"/>
  <c r="E1103" i="20"/>
  <c r="F1103" i="20" s="1"/>
  <c r="G460" i="13"/>
  <c r="B147" i="2"/>
  <c r="E44" i="2"/>
  <c r="D293" i="2"/>
  <c r="H654" i="20"/>
  <c r="H202" i="13"/>
  <c r="I202" i="13"/>
  <c r="J202" i="13" s="1"/>
  <c r="H802" i="13"/>
  <c r="I802" i="13"/>
  <c r="E120" i="20"/>
  <c r="F120" i="20"/>
  <c r="D121" i="20" s="1"/>
  <c r="E461" i="13"/>
  <c r="F461" i="13"/>
  <c r="D462" i="13" s="1"/>
  <c r="E476" i="20"/>
  <c r="F476" i="20"/>
  <c r="D477" i="20" s="1"/>
  <c r="G476" i="20"/>
  <c r="H890" i="13"/>
  <c r="I890" i="13"/>
  <c r="J890" i="13" s="1"/>
  <c r="H201" i="13"/>
  <c r="I201" i="13"/>
  <c r="H301" i="20"/>
  <c r="H475" i="20"/>
  <c r="F891" i="13"/>
  <c r="D892" i="13" s="1"/>
  <c r="E891" i="13"/>
  <c r="H388" i="20"/>
  <c r="G654" i="20"/>
  <c r="G547" i="13"/>
  <c r="H1102" i="20"/>
  <c r="E203" i="13"/>
  <c r="F203" i="13"/>
  <c r="D204" i="13" s="1"/>
  <c r="E803" i="13"/>
  <c r="F803" i="13" s="1"/>
  <c r="E302" i="20"/>
  <c r="F302" i="20" s="1"/>
  <c r="E389" i="20"/>
  <c r="F389" i="20" s="1"/>
  <c r="E548" i="13"/>
  <c r="F548" i="13"/>
  <c r="D549" i="13" s="1"/>
  <c r="H116" i="13"/>
  <c r="I116" i="13"/>
  <c r="E212" i="20"/>
  <c r="F212" i="20"/>
  <c r="D213" i="20" s="1"/>
  <c r="G212" i="20"/>
  <c r="H546" i="13"/>
  <c r="I546" i="13"/>
  <c r="J546" i="13" s="1"/>
  <c r="J115" i="13"/>
  <c r="G301" i="20"/>
  <c r="G475" i="20"/>
  <c r="H290" i="13"/>
  <c r="I290" i="13"/>
  <c r="J290" i="13" s="1"/>
  <c r="G388" i="20"/>
  <c r="H889" i="13"/>
  <c r="I889" i="13"/>
  <c r="J889" i="13" s="1"/>
  <c r="G1102" i="20"/>
  <c r="J628" i="13"/>
  <c r="I211" i="20"/>
  <c r="E833" i="20"/>
  <c r="F833" i="20" s="1"/>
  <c r="D804" i="13" l="1"/>
  <c r="G803" i="13"/>
  <c r="D390" i="20"/>
  <c r="H389" i="20"/>
  <c r="I389" i="20" s="1"/>
  <c r="G389" i="20"/>
  <c r="D834" i="20"/>
  <c r="G833" i="20"/>
  <c r="H833" i="20"/>
  <c r="I833" i="20" s="1"/>
  <c r="D303" i="20"/>
  <c r="G302" i="20"/>
  <c r="H302" i="20"/>
  <c r="I302" i="20" s="1"/>
  <c r="D1104" i="20"/>
  <c r="H1103" i="20"/>
  <c r="I1103" i="20" s="1"/>
  <c r="G1103" i="20"/>
  <c r="E204" i="13"/>
  <c r="F204" i="13" s="1"/>
  <c r="E462" i="13"/>
  <c r="F462" i="13"/>
  <c r="D463" i="13" s="1"/>
  <c r="H1064" i="13"/>
  <c r="I1064" i="13"/>
  <c r="J1064" i="13" s="1"/>
  <c r="H1237" i="13"/>
  <c r="I1237" i="13"/>
  <c r="J1237" i="13" s="1"/>
  <c r="E213" i="20"/>
  <c r="F213" i="20" s="1"/>
  <c r="I388" i="20"/>
  <c r="I475" i="20"/>
  <c r="E477" i="20"/>
  <c r="F477" i="20"/>
  <c r="D478" i="20" s="1"/>
  <c r="B148" i="2"/>
  <c r="E149" i="2"/>
  <c r="E656" i="20"/>
  <c r="F656" i="20" s="1"/>
  <c r="E1014" i="20"/>
  <c r="F1014" i="20" s="1"/>
  <c r="E1065" i="13"/>
  <c r="F1065" i="13"/>
  <c r="D1066" i="13" s="1"/>
  <c r="E1238" i="13"/>
  <c r="F1238" i="13" s="1"/>
  <c r="E979" i="13"/>
  <c r="F979" i="13"/>
  <c r="D980" i="13" s="1"/>
  <c r="E373" i="13"/>
  <c r="F373" i="13"/>
  <c r="D374" i="13" s="1"/>
  <c r="E922" i="20"/>
  <c r="F922" i="20" s="1"/>
  <c r="E630" i="13"/>
  <c r="F630" i="13" s="1"/>
  <c r="H978" i="13"/>
  <c r="I978" i="13"/>
  <c r="E549" i="13"/>
  <c r="F549" i="13"/>
  <c r="D550" i="13" s="1"/>
  <c r="I1102" i="20"/>
  <c r="I301" i="20"/>
  <c r="H120" i="20"/>
  <c r="J802" i="13"/>
  <c r="I654" i="20"/>
  <c r="H460" i="13"/>
  <c r="I460" i="13"/>
  <c r="J460" i="13" s="1"/>
  <c r="H718" i="13"/>
  <c r="I718" i="13"/>
  <c r="E745" i="20"/>
  <c r="F745" i="20" s="1"/>
  <c r="I1187" i="20"/>
  <c r="H291" i="13"/>
  <c r="I291" i="13"/>
  <c r="J291" i="13" s="1"/>
  <c r="H117" i="13"/>
  <c r="I117" i="13"/>
  <c r="H1148" i="13"/>
  <c r="I1148" i="13"/>
  <c r="J1148" i="13" s="1"/>
  <c r="E892" i="13"/>
  <c r="F892" i="13" s="1"/>
  <c r="E121" i="20"/>
  <c r="F121" i="20" s="1"/>
  <c r="H372" i="13"/>
  <c r="I372" i="13"/>
  <c r="H212" i="20"/>
  <c r="I212" i="20" s="1"/>
  <c r="J116" i="13"/>
  <c r="G548" i="13"/>
  <c r="G203" i="13"/>
  <c r="H547" i="13"/>
  <c r="I547" i="13"/>
  <c r="J547" i="13" s="1"/>
  <c r="G891" i="13"/>
  <c r="J201" i="13"/>
  <c r="H476" i="20"/>
  <c r="I476" i="20" s="1"/>
  <c r="G461" i="13"/>
  <c r="G120" i="20"/>
  <c r="H655" i="20"/>
  <c r="I655" i="20" s="1"/>
  <c r="I1013" i="20"/>
  <c r="E568" i="20"/>
  <c r="F568" i="20" s="1"/>
  <c r="E719" i="13"/>
  <c r="F719" i="13"/>
  <c r="D720" i="13" s="1"/>
  <c r="H629" i="13"/>
  <c r="I629" i="13"/>
  <c r="J629" i="13" s="1"/>
  <c r="E1188" i="20"/>
  <c r="F1188" i="20" s="1"/>
  <c r="E292" i="13"/>
  <c r="F292" i="13" s="1"/>
  <c r="E118" i="13"/>
  <c r="F118" i="13"/>
  <c r="D119" i="13" s="1"/>
  <c r="E1149" i="13"/>
  <c r="F1149" i="13"/>
  <c r="D1150" i="13" s="1"/>
  <c r="D293" i="13" l="1"/>
  <c r="G292" i="13"/>
  <c r="D1189" i="20"/>
  <c r="G1188" i="20"/>
  <c r="H1188" i="20"/>
  <c r="D631" i="13"/>
  <c r="G630" i="13"/>
  <c r="D205" i="13"/>
  <c r="G204" i="13"/>
  <c r="D569" i="20"/>
  <c r="G568" i="20"/>
  <c r="H568" i="20"/>
  <c r="I568" i="20" s="1"/>
  <c r="D122" i="20"/>
  <c r="G121" i="20"/>
  <c r="H121" i="20"/>
  <c r="I121" i="20" s="1"/>
  <c r="D923" i="20"/>
  <c r="G922" i="20"/>
  <c r="H922" i="20"/>
  <c r="I922" i="20" s="1"/>
  <c r="D1015" i="20"/>
  <c r="G1014" i="20"/>
  <c r="H1014" i="20"/>
  <c r="D214" i="20"/>
  <c r="H213" i="20"/>
  <c r="G213" i="20"/>
  <c r="D893" i="13"/>
  <c r="G892" i="13"/>
  <c r="D746" i="20"/>
  <c r="H745" i="20"/>
  <c r="I745" i="20" s="1"/>
  <c r="G745" i="20"/>
  <c r="D1239" i="13"/>
  <c r="G1238" i="13"/>
  <c r="D657" i="20"/>
  <c r="H656" i="20"/>
  <c r="G656" i="20"/>
  <c r="E1150" i="13"/>
  <c r="F1150" i="13"/>
  <c r="D1151" i="13" s="1"/>
  <c r="H891" i="13"/>
  <c r="I891" i="13"/>
  <c r="J891" i="13" s="1"/>
  <c r="E980" i="13"/>
  <c r="F980" i="13" s="1"/>
  <c r="E478" i="20"/>
  <c r="F478" i="20" s="1"/>
  <c r="E463" i="13"/>
  <c r="F463" i="13" s="1"/>
  <c r="E1104" i="20"/>
  <c r="F1104" i="20" s="1"/>
  <c r="G1149" i="13"/>
  <c r="H461" i="13"/>
  <c r="I461" i="13"/>
  <c r="J461" i="13" s="1"/>
  <c r="I120" i="20"/>
  <c r="E1066" i="13"/>
  <c r="F1066" i="13"/>
  <c r="D1067" i="13" s="1"/>
  <c r="B149" i="2"/>
  <c r="D295" i="2"/>
  <c r="G462" i="13"/>
  <c r="F390" i="20"/>
  <c r="D391" i="20" s="1"/>
  <c r="E390" i="20"/>
  <c r="F119" i="13"/>
  <c r="D120" i="13" s="1"/>
  <c r="E119" i="13"/>
  <c r="E720" i="13"/>
  <c r="F720" i="13" s="1"/>
  <c r="H548" i="13"/>
  <c r="I548" i="13"/>
  <c r="G550" i="13"/>
  <c r="E550" i="13"/>
  <c r="F550" i="13"/>
  <c r="D551" i="13" s="1"/>
  <c r="E374" i="13"/>
  <c r="F374" i="13" s="1"/>
  <c r="J117" i="13"/>
  <c r="G549" i="13"/>
  <c r="G373" i="13"/>
  <c r="G1065" i="13"/>
  <c r="H477" i="20"/>
  <c r="I477" i="20" s="1"/>
  <c r="E834" i="20"/>
  <c r="F834" i="20"/>
  <c r="D835" i="20" s="1"/>
  <c r="H803" i="13"/>
  <c r="I803" i="13"/>
  <c r="J803" i="13" s="1"/>
  <c r="G118" i="13"/>
  <c r="G719" i="13"/>
  <c r="H203" i="13"/>
  <c r="I203" i="13"/>
  <c r="J203" i="13" s="1"/>
  <c r="J372" i="13"/>
  <c r="J718" i="13"/>
  <c r="J978" i="13"/>
  <c r="G979" i="13"/>
  <c r="G477" i="20"/>
  <c r="E303" i="20"/>
  <c r="F303" i="20" s="1"/>
  <c r="E804" i="13"/>
  <c r="F804" i="13" s="1"/>
  <c r="D721" i="13" l="1"/>
  <c r="G720" i="13"/>
  <c r="D981" i="13"/>
  <c r="G980" i="13"/>
  <c r="D375" i="13"/>
  <c r="G374" i="13"/>
  <c r="D1105" i="20"/>
  <c r="H1104" i="20"/>
  <c r="I1104" i="20" s="1"/>
  <c r="G1104" i="20"/>
  <c r="D479" i="20"/>
  <c r="G478" i="20"/>
  <c r="H478" i="20"/>
  <c r="I478" i="20" s="1"/>
  <c r="D805" i="13"/>
  <c r="G804" i="13"/>
  <c r="D304" i="20"/>
  <c r="H303" i="20"/>
  <c r="I303" i="20" s="1"/>
  <c r="G303" i="20"/>
  <c r="D464" i="13"/>
  <c r="G463" i="13"/>
  <c r="E1067" i="13"/>
  <c r="F1067" i="13" s="1"/>
  <c r="H549" i="13"/>
  <c r="I549" i="13"/>
  <c r="J549" i="13" s="1"/>
  <c r="J548" i="13"/>
  <c r="H390" i="20"/>
  <c r="H462" i="13"/>
  <c r="I462" i="13"/>
  <c r="J462" i="13" s="1"/>
  <c r="G1066" i="13"/>
  <c r="H1238" i="13"/>
  <c r="I1238" i="13"/>
  <c r="J1238" i="13" s="1"/>
  <c r="F746" i="20"/>
  <c r="D747" i="20" s="1"/>
  <c r="E746" i="20"/>
  <c r="I213" i="20"/>
  <c r="E1015" i="20"/>
  <c r="F1015" i="20" s="1"/>
  <c r="H630" i="13"/>
  <c r="I630" i="13"/>
  <c r="E1189" i="20"/>
  <c r="F1189" i="20" s="1"/>
  <c r="H979" i="13"/>
  <c r="I979" i="13"/>
  <c r="J979" i="13" s="1"/>
  <c r="E835" i="20"/>
  <c r="F835" i="20" s="1"/>
  <c r="H550" i="13"/>
  <c r="I550" i="13"/>
  <c r="E391" i="20"/>
  <c r="F391" i="20" s="1"/>
  <c r="H834" i="20"/>
  <c r="E551" i="13"/>
  <c r="F551" i="13" s="1"/>
  <c r="G119" i="13"/>
  <c r="H1149" i="13"/>
  <c r="I1149" i="13"/>
  <c r="E1239" i="13"/>
  <c r="F1239" i="13"/>
  <c r="D1240" i="13" s="1"/>
  <c r="G1239" i="13"/>
  <c r="H892" i="13"/>
  <c r="I892" i="13"/>
  <c r="E214" i="20"/>
  <c r="F214" i="20"/>
  <c r="D215" i="20" s="1"/>
  <c r="E569" i="20"/>
  <c r="F569" i="20"/>
  <c r="D570" i="20" s="1"/>
  <c r="E631" i="13"/>
  <c r="F631" i="13" s="1"/>
  <c r="H292" i="13"/>
  <c r="I292" i="13"/>
  <c r="J292" i="13" s="1"/>
  <c r="H373" i="13"/>
  <c r="I373" i="13"/>
  <c r="E120" i="13"/>
  <c r="F120" i="13" s="1"/>
  <c r="E1151" i="13"/>
  <c r="F1151" i="13" s="1"/>
  <c r="E657" i="20"/>
  <c r="F657" i="20" s="1"/>
  <c r="E923" i="20"/>
  <c r="F923" i="20" s="1"/>
  <c r="E205" i="13"/>
  <c r="F205" i="13" s="1"/>
  <c r="H719" i="13"/>
  <c r="I719" i="13"/>
  <c r="J719" i="13" s="1"/>
  <c r="G390" i="20"/>
  <c r="H118" i="13"/>
  <c r="I118" i="13"/>
  <c r="J118" i="13" s="1"/>
  <c r="G834" i="20"/>
  <c r="H1065" i="13"/>
  <c r="I1065" i="13"/>
  <c r="E113" i="2"/>
  <c r="D292" i="2"/>
  <c r="B151" i="2"/>
  <c r="G1150" i="13"/>
  <c r="I656" i="20"/>
  <c r="E893" i="13"/>
  <c r="F893" i="13"/>
  <c r="D894" i="13" s="1"/>
  <c r="G893" i="13"/>
  <c r="I1014" i="20"/>
  <c r="E122" i="20"/>
  <c r="F122" i="20"/>
  <c r="D123" i="20" s="1"/>
  <c r="G122" i="20"/>
  <c r="H204" i="13"/>
  <c r="I204" i="13"/>
  <c r="J204" i="13" s="1"/>
  <c r="I1188" i="20"/>
  <c r="E293" i="13"/>
  <c r="F293" i="13" s="1"/>
  <c r="D552" i="13" l="1"/>
  <c r="G551" i="13"/>
  <c r="D1068" i="13"/>
  <c r="G1067" i="13"/>
  <c r="D1152" i="13"/>
  <c r="G1151" i="13"/>
  <c r="D294" i="13"/>
  <c r="G293" i="13"/>
  <c r="D206" i="13"/>
  <c r="G205" i="13"/>
  <c r="D121" i="13"/>
  <c r="G120" i="13"/>
  <c r="D392" i="20"/>
  <c r="G391" i="20"/>
  <c r="H391" i="20"/>
  <c r="I391" i="20" s="1"/>
  <c r="D658" i="20"/>
  <c r="G657" i="20"/>
  <c r="H657" i="20"/>
  <c r="I657" i="20" s="1"/>
  <c r="D1190" i="20"/>
  <c r="G1189" i="20"/>
  <c r="H1189" i="20"/>
  <c r="D836" i="20"/>
  <c r="G835" i="20"/>
  <c r="H835" i="20"/>
  <c r="I835" i="20" s="1"/>
  <c r="D924" i="20"/>
  <c r="G923" i="20"/>
  <c r="H923" i="20"/>
  <c r="I923" i="20" s="1"/>
  <c r="D632" i="13"/>
  <c r="G631" i="13"/>
  <c r="D1016" i="20"/>
  <c r="H1015" i="20"/>
  <c r="G1015" i="20"/>
  <c r="H1150" i="13"/>
  <c r="I1150" i="13"/>
  <c r="J1150" i="13" s="1"/>
  <c r="E215" i="20"/>
  <c r="F215" i="20"/>
  <c r="D216" i="20" s="1"/>
  <c r="E123" i="20"/>
  <c r="F123" i="20"/>
  <c r="D124" i="20" s="1"/>
  <c r="E894" i="13"/>
  <c r="F894" i="13" s="1"/>
  <c r="E1240" i="13"/>
  <c r="F1240" i="13" s="1"/>
  <c r="H119" i="13"/>
  <c r="I119" i="13"/>
  <c r="J119" i="13" s="1"/>
  <c r="I834" i="20"/>
  <c r="H746" i="20"/>
  <c r="H463" i="13"/>
  <c r="I463" i="13"/>
  <c r="J463" i="13" s="1"/>
  <c r="E304" i="20"/>
  <c r="F304" i="20"/>
  <c r="D305" i="20" s="1"/>
  <c r="E1105" i="20"/>
  <c r="F1105" i="20"/>
  <c r="D1106" i="20" s="1"/>
  <c r="F981" i="13"/>
  <c r="D982" i="13" s="1"/>
  <c r="G981" i="13"/>
  <c r="E981" i="13"/>
  <c r="H1239" i="13"/>
  <c r="I1239" i="13"/>
  <c r="J1239" i="13" s="1"/>
  <c r="E747" i="20"/>
  <c r="F747" i="20" s="1"/>
  <c r="B152" i="2"/>
  <c r="J1065" i="13"/>
  <c r="H569" i="20"/>
  <c r="H214" i="20"/>
  <c r="I214" i="20" s="1"/>
  <c r="J892" i="13"/>
  <c r="J550" i="13"/>
  <c r="J630" i="13"/>
  <c r="G746" i="20"/>
  <c r="I390" i="20"/>
  <c r="E464" i="13"/>
  <c r="F464" i="13"/>
  <c r="D465" i="13" s="1"/>
  <c r="G464" i="13"/>
  <c r="H804" i="13"/>
  <c r="I804" i="13"/>
  <c r="J804" i="13" s="1"/>
  <c r="E479" i="20"/>
  <c r="F479" i="20" s="1"/>
  <c r="H374" i="13"/>
  <c r="I374" i="13"/>
  <c r="J374" i="13" s="1"/>
  <c r="H720" i="13"/>
  <c r="I720" i="13"/>
  <c r="J720" i="13" s="1"/>
  <c r="H893" i="13"/>
  <c r="I893" i="13"/>
  <c r="J893" i="13" s="1"/>
  <c r="E570" i="20"/>
  <c r="F570" i="20"/>
  <c r="D571" i="20" s="1"/>
  <c r="G570" i="20"/>
  <c r="H570" i="20"/>
  <c r="I570" i="20" s="1"/>
  <c r="H980" i="13"/>
  <c r="I980" i="13"/>
  <c r="J980" i="13" s="1"/>
  <c r="H122" i="20"/>
  <c r="I122" i="20" s="1"/>
  <c r="J373" i="13"/>
  <c r="G569" i="20"/>
  <c r="G214" i="20"/>
  <c r="J1149" i="13"/>
  <c r="H1066" i="13"/>
  <c r="I1066" i="13"/>
  <c r="E805" i="13"/>
  <c r="F805" i="13" s="1"/>
  <c r="E375" i="13"/>
  <c r="F375" i="13" s="1"/>
  <c r="E721" i="13"/>
  <c r="F721" i="13" s="1"/>
  <c r="D748" i="20" l="1"/>
  <c r="G747" i="20"/>
  <c r="H747" i="20"/>
  <c r="I747" i="20" s="1"/>
  <c r="D480" i="20"/>
  <c r="G479" i="20"/>
  <c r="H479" i="20"/>
  <c r="I479" i="20" s="1"/>
  <c r="D376" i="13"/>
  <c r="G375" i="13"/>
  <c r="D1241" i="13"/>
  <c r="G1240" i="13"/>
  <c r="D806" i="13"/>
  <c r="G805" i="13"/>
  <c r="D895" i="13"/>
  <c r="G894" i="13"/>
  <c r="D722" i="13"/>
  <c r="G721" i="13"/>
  <c r="E1106" i="20"/>
  <c r="F1106" i="20"/>
  <c r="D1107" i="20" s="1"/>
  <c r="G1106" i="20"/>
  <c r="H1106" i="20"/>
  <c r="I1106" i="20" s="1"/>
  <c r="E216" i="20"/>
  <c r="F216" i="20" s="1"/>
  <c r="E658" i="20"/>
  <c r="F658" i="20"/>
  <c r="D659" i="20" s="1"/>
  <c r="G658" i="20"/>
  <c r="H658" i="20"/>
  <c r="I658" i="20" s="1"/>
  <c r="H293" i="13"/>
  <c r="I293" i="13"/>
  <c r="J293" i="13" s="1"/>
  <c r="E465" i="13"/>
  <c r="F465" i="13" s="1"/>
  <c r="I569" i="20"/>
  <c r="E982" i="13"/>
  <c r="F982" i="13"/>
  <c r="D983" i="13" s="1"/>
  <c r="I1015" i="20"/>
  <c r="E1190" i="20"/>
  <c r="F1190" i="20" s="1"/>
  <c r="E121" i="13"/>
  <c r="F121" i="13"/>
  <c r="D122" i="13" s="1"/>
  <c r="E294" i="13"/>
  <c r="F294" i="13" s="1"/>
  <c r="E1068" i="13"/>
  <c r="F1068" i="13"/>
  <c r="D1069" i="13" s="1"/>
  <c r="H981" i="13"/>
  <c r="I981" i="13"/>
  <c r="I746" i="20"/>
  <c r="E124" i="20"/>
  <c r="F124" i="20"/>
  <c r="D125" i="20" s="1"/>
  <c r="E632" i="13"/>
  <c r="F632" i="13" s="1"/>
  <c r="H1067" i="13"/>
  <c r="I1067" i="13"/>
  <c r="J1067" i="13" s="1"/>
  <c r="E571" i="20"/>
  <c r="F571" i="20" s="1"/>
  <c r="H1105" i="20"/>
  <c r="I1105" i="20" s="1"/>
  <c r="H304" i="20"/>
  <c r="H123" i="20"/>
  <c r="H215" i="20"/>
  <c r="E1016" i="20"/>
  <c r="F1016" i="20" s="1"/>
  <c r="E836" i="20"/>
  <c r="F836" i="20" s="1"/>
  <c r="H205" i="13"/>
  <c r="I205" i="13"/>
  <c r="H1151" i="13"/>
  <c r="I1151" i="13"/>
  <c r="J1151" i="13" s="1"/>
  <c r="H551" i="13"/>
  <c r="I551" i="13"/>
  <c r="H464" i="13"/>
  <c r="I464" i="13"/>
  <c r="J464" i="13" s="1"/>
  <c r="E160" i="2"/>
  <c r="B153" i="2"/>
  <c r="B154" i="2" s="1"/>
  <c r="B155" i="2" s="1"/>
  <c r="B156" i="2" s="1"/>
  <c r="B157" i="2" s="1"/>
  <c r="B158" i="2" s="1"/>
  <c r="B159" i="2" s="1"/>
  <c r="E305" i="20"/>
  <c r="F305" i="20"/>
  <c r="D306" i="20" s="1"/>
  <c r="G305" i="20"/>
  <c r="H120" i="13"/>
  <c r="I120" i="13"/>
  <c r="J120" i="13" s="1"/>
  <c r="J1066" i="13"/>
  <c r="E159" i="2"/>
  <c r="G1105" i="20"/>
  <c r="G304" i="20"/>
  <c r="G123" i="20"/>
  <c r="G215" i="20"/>
  <c r="H631" i="13"/>
  <c r="I631" i="13"/>
  <c r="J631" i="13" s="1"/>
  <c r="E924" i="20"/>
  <c r="F924" i="20" s="1"/>
  <c r="I1189" i="20"/>
  <c r="F392" i="20"/>
  <c r="D393" i="20" s="1"/>
  <c r="E392" i="20"/>
  <c r="H392" i="20"/>
  <c r="E206" i="13"/>
  <c r="F206" i="13" s="1"/>
  <c r="F1152" i="13"/>
  <c r="D1153" i="13" s="1"/>
  <c r="E1152" i="13"/>
  <c r="E552" i="13"/>
  <c r="F552" i="13"/>
  <c r="D553" i="13" s="1"/>
  <c r="D633" i="13" l="1"/>
  <c r="G632" i="13"/>
  <c r="D466" i="13"/>
  <c r="G465" i="13"/>
  <c r="D207" i="13"/>
  <c r="G206" i="13"/>
  <c r="D1017" i="20"/>
  <c r="G1016" i="20"/>
  <c r="H1016" i="20"/>
  <c r="D295" i="13"/>
  <c r="G294" i="13"/>
  <c r="D572" i="20"/>
  <c r="G571" i="20"/>
  <c r="H571" i="20"/>
  <c r="I571" i="20" s="1"/>
  <c r="D925" i="20"/>
  <c r="G924" i="20"/>
  <c r="H924" i="20"/>
  <c r="D837" i="20"/>
  <c r="G836" i="20"/>
  <c r="H836" i="20"/>
  <c r="I836" i="20" s="1"/>
  <c r="D1191" i="20"/>
  <c r="G1190" i="20"/>
  <c r="H1190" i="20"/>
  <c r="I1190" i="20" s="1"/>
  <c r="D217" i="20"/>
  <c r="H216" i="20"/>
  <c r="G216" i="20"/>
  <c r="E983" i="13"/>
  <c r="F983" i="13"/>
  <c r="D984" i="13" s="1"/>
  <c r="H375" i="13"/>
  <c r="I375" i="13"/>
  <c r="J375" i="13" s="1"/>
  <c r="F306" i="20"/>
  <c r="D307" i="20" s="1"/>
  <c r="E306" i="20"/>
  <c r="I215" i="20"/>
  <c r="E1069" i="13"/>
  <c r="F1069" i="13" s="1"/>
  <c r="F722" i="13"/>
  <c r="D723" i="13" s="1"/>
  <c r="E722" i="13"/>
  <c r="E806" i="13"/>
  <c r="F806" i="13" s="1"/>
  <c r="E376" i="13"/>
  <c r="F376" i="13" s="1"/>
  <c r="E125" i="20"/>
  <c r="F125" i="20"/>
  <c r="D126" i="20" s="1"/>
  <c r="G125" i="20"/>
  <c r="E122" i="13"/>
  <c r="F122" i="13"/>
  <c r="D123" i="13" s="1"/>
  <c r="H805" i="13"/>
  <c r="I805" i="13"/>
  <c r="J805" i="13" s="1"/>
  <c r="E480" i="20"/>
  <c r="F480" i="20"/>
  <c r="D481" i="20" s="1"/>
  <c r="G392" i="20"/>
  <c r="I392" i="20" s="1"/>
  <c r="G1152" i="13"/>
  <c r="I123" i="20"/>
  <c r="H124" i="20"/>
  <c r="E659" i="20"/>
  <c r="F659" i="20"/>
  <c r="D660" i="20" s="1"/>
  <c r="E1107" i="20"/>
  <c r="F1107" i="20"/>
  <c r="D1108" i="20" s="1"/>
  <c r="H894" i="13"/>
  <c r="I894" i="13"/>
  <c r="J894" i="13" s="1"/>
  <c r="H1240" i="13"/>
  <c r="I1240" i="13"/>
  <c r="J1240" i="13" s="1"/>
  <c r="E553" i="13"/>
  <c r="F553" i="13" s="1"/>
  <c r="E1153" i="13"/>
  <c r="F1153" i="13"/>
  <c r="D1154" i="13" s="1"/>
  <c r="H721" i="13"/>
  <c r="I721" i="13"/>
  <c r="J721" i="13" s="1"/>
  <c r="G552" i="13"/>
  <c r="E393" i="20"/>
  <c r="F393" i="20" s="1"/>
  <c r="H305" i="20"/>
  <c r="I305" i="20" s="1"/>
  <c r="B160" i="2"/>
  <c r="B161" i="2" s="1"/>
  <c r="B162" i="2" s="1"/>
  <c r="B163" i="2" s="1"/>
  <c r="B164" i="2" s="1"/>
  <c r="B165" i="2" s="1"/>
  <c r="J551" i="13"/>
  <c r="J205" i="13"/>
  <c r="I304" i="20"/>
  <c r="G124" i="20"/>
  <c r="J981" i="13"/>
  <c r="G1068" i="13"/>
  <c r="G121" i="13"/>
  <c r="G982" i="13"/>
  <c r="E895" i="13"/>
  <c r="F895" i="13"/>
  <c r="D896" i="13" s="1"/>
  <c r="E1241" i="13"/>
  <c r="F1241" i="13"/>
  <c r="D1242" i="13" s="1"/>
  <c r="E748" i="20"/>
  <c r="F748" i="20" s="1"/>
  <c r="D554" i="13" l="1"/>
  <c r="G553" i="13"/>
  <c r="D394" i="20"/>
  <c r="G393" i="20"/>
  <c r="H393" i="20"/>
  <c r="D377" i="13"/>
  <c r="G376" i="13"/>
  <c r="D1070" i="13"/>
  <c r="G1069" i="13"/>
  <c r="D749" i="20"/>
  <c r="H748" i="20"/>
  <c r="G748" i="20"/>
  <c r="D807" i="13"/>
  <c r="G806" i="13"/>
  <c r="E1242" i="13"/>
  <c r="F1242" i="13" s="1"/>
  <c r="H1068" i="13"/>
  <c r="I1068" i="13"/>
  <c r="J1068" i="13" s="1"/>
  <c r="H1152" i="13"/>
  <c r="I1152" i="13"/>
  <c r="E123" i="13"/>
  <c r="F123" i="13" s="1"/>
  <c r="E723" i="13"/>
  <c r="F723" i="13" s="1"/>
  <c r="F307" i="20"/>
  <c r="D308" i="20" s="1"/>
  <c r="E307" i="20"/>
  <c r="E572" i="20"/>
  <c r="F572" i="20" s="1"/>
  <c r="H465" i="13"/>
  <c r="I465" i="13"/>
  <c r="H552" i="13"/>
  <c r="I552" i="13"/>
  <c r="J552" i="13" s="1"/>
  <c r="E126" i="20"/>
  <c r="F126" i="20" s="1"/>
  <c r="H306" i="20"/>
  <c r="I306" i="20" s="1"/>
  <c r="F925" i="20"/>
  <c r="D926" i="20" s="1"/>
  <c r="E925" i="20"/>
  <c r="H925" i="20"/>
  <c r="H294" i="13"/>
  <c r="I294" i="13"/>
  <c r="E1017" i="20"/>
  <c r="F1017" i="20"/>
  <c r="D1018" i="20" s="1"/>
  <c r="E466" i="13"/>
  <c r="F466" i="13" s="1"/>
  <c r="E896" i="13"/>
  <c r="F896" i="13" s="1"/>
  <c r="E1154" i="13"/>
  <c r="F1154" i="13" s="1"/>
  <c r="E1108" i="20"/>
  <c r="F1108" i="20" s="1"/>
  <c r="E481" i="20"/>
  <c r="F481" i="20" s="1"/>
  <c r="E984" i="13"/>
  <c r="F984" i="13" s="1"/>
  <c r="E217" i="20"/>
  <c r="F217" i="20"/>
  <c r="D218" i="20" s="1"/>
  <c r="G1241" i="13"/>
  <c r="D296" i="2"/>
  <c r="B167" i="2"/>
  <c r="E167" i="2"/>
  <c r="G1153" i="13"/>
  <c r="H1107" i="20"/>
  <c r="I1107" i="20" s="1"/>
  <c r="H659" i="20"/>
  <c r="I124" i="20"/>
  <c r="H480" i="20"/>
  <c r="G122" i="13"/>
  <c r="G306" i="20"/>
  <c r="E837" i="20"/>
  <c r="F837" i="20" s="1"/>
  <c r="E295" i="13"/>
  <c r="F295" i="13" s="1"/>
  <c r="H206" i="13"/>
  <c r="I206" i="13"/>
  <c r="H632" i="13"/>
  <c r="I632" i="13"/>
  <c r="J632" i="13" s="1"/>
  <c r="E660" i="20"/>
  <c r="F660" i="20" s="1"/>
  <c r="H982" i="13"/>
  <c r="I982" i="13"/>
  <c r="G895" i="13"/>
  <c r="H121" i="13"/>
  <c r="I121" i="13"/>
  <c r="E165" i="2"/>
  <c r="G1107" i="20"/>
  <c r="G659" i="20"/>
  <c r="G480" i="20"/>
  <c r="H125" i="20"/>
  <c r="I125" i="20" s="1"/>
  <c r="G722" i="13"/>
  <c r="G983" i="13"/>
  <c r="I216" i="20"/>
  <c r="E1191" i="20"/>
  <c r="F1191" i="20" s="1"/>
  <c r="I924" i="20"/>
  <c r="I1016" i="20"/>
  <c r="E207" i="13"/>
  <c r="F207" i="13" s="1"/>
  <c r="E633" i="13"/>
  <c r="F633" i="13"/>
  <c r="D634" i="13" s="1"/>
  <c r="D208" i="13" l="1"/>
  <c r="G207" i="13"/>
  <c r="D1155" i="13"/>
  <c r="G1154" i="13"/>
  <c r="D573" i="20"/>
  <c r="G572" i="20"/>
  <c r="H572" i="20"/>
  <c r="I572" i="20" s="1"/>
  <c r="D124" i="13"/>
  <c r="G123" i="13"/>
  <c r="D661" i="20"/>
  <c r="G660" i="20"/>
  <c r="H660" i="20"/>
  <c r="I660" i="20" s="1"/>
  <c r="D985" i="13"/>
  <c r="G984" i="13"/>
  <c r="D897" i="13"/>
  <c r="G896" i="13"/>
  <c r="D1243" i="13"/>
  <c r="G1242" i="13"/>
  <c r="D296" i="13"/>
  <c r="G295" i="13"/>
  <c r="D482" i="20"/>
  <c r="G481" i="20"/>
  <c r="H481" i="20"/>
  <c r="I481" i="20" s="1"/>
  <c r="D467" i="13"/>
  <c r="G466" i="13"/>
  <c r="D1192" i="20"/>
  <c r="H1191" i="20"/>
  <c r="G1191" i="20"/>
  <c r="D838" i="20"/>
  <c r="H837" i="20"/>
  <c r="G837" i="20"/>
  <c r="D1109" i="20"/>
  <c r="G1108" i="20"/>
  <c r="H1108" i="20"/>
  <c r="I1108" i="20" s="1"/>
  <c r="D127" i="20"/>
  <c r="G126" i="20"/>
  <c r="H126" i="20"/>
  <c r="D724" i="13"/>
  <c r="G723" i="13"/>
  <c r="H122" i="13"/>
  <c r="I122" i="13"/>
  <c r="E218" i="20"/>
  <c r="F218" i="20"/>
  <c r="D219" i="20" s="1"/>
  <c r="G218" i="20"/>
  <c r="E1070" i="13"/>
  <c r="F1070" i="13"/>
  <c r="D1071" i="13" s="1"/>
  <c r="G1070" i="13"/>
  <c r="H722" i="13"/>
  <c r="I722" i="13"/>
  <c r="J722" i="13" s="1"/>
  <c r="H895" i="13"/>
  <c r="I895" i="13"/>
  <c r="J895" i="13" s="1"/>
  <c r="I480" i="20"/>
  <c r="H1153" i="13"/>
  <c r="I1153" i="13"/>
  <c r="J1153" i="13" s="1"/>
  <c r="H1241" i="13"/>
  <c r="I1241" i="13"/>
  <c r="G925" i="20"/>
  <c r="H307" i="20"/>
  <c r="I748" i="20"/>
  <c r="H376" i="13"/>
  <c r="I376" i="13"/>
  <c r="J376" i="13" s="1"/>
  <c r="E394" i="20"/>
  <c r="F394" i="20"/>
  <c r="D395" i="20" s="1"/>
  <c r="E634" i="13"/>
  <c r="F634" i="13"/>
  <c r="D635" i="13" s="1"/>
  <c r="E1018" i="20"/>
  <c r="F1018" i="20" s="1"/>
  <c r="I925" i="20"/>
  <c r="E308" i="20"/>
  <c r="F308" i="20" s="1"/>
  <c r="J982" i="13"/>
  <c r="J206" i="13"/>
  <c r="H217" i="20"/>
  <c r="H1017" i="20"/>
  <c r="J294" i="13"/>
  <c r="G307" i="20"/>
  <c r="H806" i="13"/>
  <c r="I806" i="13"/>
  <c r="J806" i="13" s="1"/>
  <c r="E749" i="20"/>
  <c r="F749" i="20"/>
  <c r="D750" i="20" s="1"/>
  <c r="E377" i="13"/>
  <c r="F377" i="13"/>
  <c r="D378" i="13" s="1"/>
  <c r="H553" i="13"/>
  <c r="I553" i="13"/>
  <c r="J553" i="13" s="1"/>
  <c r="H983" i="13"/>
  <c r="I983" i="13"/>
  <c r="G633" i="13"/>
  <c r="J121" i="13"/>
  <c r="I659" i="20"/>
  <c r="B168" i="2"/>
  <c r="E169" i="2"/>
  <c r="G217" i="20"/>
  <c r="G1017" i="20"/>
  <c r="E926" i="20"/>
  <c r="F926" i="20"/>
  <c r="D927" i="20" s="1"/>
  <c r="G926" i="20"/>
  <c r="H926" i="20"/>
  <c r="I926" i="20" s="1"/>
  <c r="J465" i="13"/>
  <c r="J1152" i="13"/>
  <c r="F807" i="13"/>
  <c r="D808" i="13" s="1"/>
  <c r="G807" i="13"/>
  <c r="E807" i="13"/>
  <c r="H1069" i="13"/>
  <c r="I1069" i="13"/>
  <c r="J1069" i="13" s="1"/>
  <c r="I393" i="20"/>
  <c r="E554" i="13"/>
  <c r="F554" i="13"/>
  <c r="D555" i="13" s="1"/>
  <c r="D1019" i="20" l="1"/>
  <c r="H1018" i="20"/>
  <c r="G1018" i="20"/>
  <c r="D309" i="20"/>
  <c r="G308" i="20"/>
  <c r="H308" i="20"/>
  <c r="I308" i="20" s="1"/>
  <c r="H807" i="13"/>
  <c r="I807" i="13"/>
  <c r="J807" i="13" s="1"/>
  <c r="E378" i="13"/>
  <c r="F378" i="13" s="1"/>
  <c r="F750" i="20"/>
  <c r="D751" i="20" s="1"/>
  <c r="E750" i="20"/>
  <c r="E635" i="13"/>
  <c r="F635" i="13" s="1"/>
  <c r="E395" i="20"/>
  <c r="F395" i="20"/>
  <c r="D396" i="20" s="1"/>
  <c r="H1070" i="13"/>
  <c r="I1070" i="13"/>
  <c r="J1070" i="13" s="1"/>
  <c r="E1109" i="20"/>
  <c r="F1109" i="20" s="1"/>
  <c r="E467" i="13"/>
  <c r="F467" i="13" s="1"/>
  <c r="H295" i="13"/>
  <c r="I295" i="13"/>
  <c r="H896" i="13"/>
  <c r="I896" i="13"/>
  <c r="E124" i="13"/>
  <c r="F124" i="13" s="1"/>
  <c r="H1154" i="13"/>
  <c r="I1154" i="13"/>
  <c r="J1154" i="13" s="1"/>
  <c r="E555" i="13"/>
  <c r="F555" i="13" s="1"/>
  <c r="G808" i="13"/>
  <c r="E808" i="13"/>
  <c r="F808" i="13"/>
  <c r="D809" i="13" s="1"/>
  <c r="I307" i="20"/>
  <c r="E1071" i="13"/>
  <c r="F1071" i="13" s="1"/>
  <c r="E219" i="20"/>
  <c r="F219" i="20"/>
  <c r="D220" i="20" s="1"/>
  <c r="H723" i="13"/>
  <c r="I723" i="13"/>
  <c r="J723" i="13" s="1"/>
  <c r="E127" i="20"/>
  <c r="F127" i="20"/>
  <c r="D128" i="20" s="1"/>
  <c r="H127" i="20"/>
  <c r="I1191" i="20"/>
  <c r="E296" i="13"/>
  <c r="F296" i="13"/>
  <c r="D297" i="13" s="1"/>
  <c r="E897" i="13"/>
  <c r="F897" i="13"/>
  <c r="D898" i="13" s="1"/>
  <c r="G1155" i="13"/>
  <c r="E1155" i="13"/>
  <c r="F1155" i="13"/>
  <c r="D1156" i="13" s="1"/>
  <c r="E927" i="20"/>
  <c r="F927" i="20" s="1"/>
  <c r="H633" i="13"/>
  <c r="I633" i="13"/>
  <c r="J633" i="13" s="1"/>
  <c r="H749" i="20"/>
  <c r="I1017" i="20"/>
  <c r="H394" i="20"/>
  <c r="E724" i="13"/>
  <c r="F724" i="13" s="1"/>
  <c r="I837" i="20"/>
  <c r="E1192" i="20"/>
  <c r="F1192" i="20" s="1"/>
  <c r="H1242" i="13"/>
  <c r="I1242" i="13"/>
  <c r="H984" i="13"/>
  <c r="I984" i="13"/>
  <c r="E661" i="20"/>
  <c r="F661" i="20" s="1"/>
  <c r="H207" i="13"/>
  <c r="I207" i="13"/>
  <c r="G554" i="13"/>
  <c r="D311" i="2"/>
  <c r="E30" i="2"/>
  <c r="C48" i="13"/>
  <c r="C48" i="20"/>
  <c r="B169" i="2"/>
  <c r="D309" i="2"/>
  <c r="D306" i="2"/>
  <c r="J983" i="13"/>
  <c r="G377" i="13"/>
  <c r="G749" i="20"/>
  <c r="I217" i="20"/>
  <c r="G634" i="13"/>
  <c r="G394" i="20"/>
  <c r="J1241" i="13"/>
  <c r="H218" i="20"/>
  <c r="I218" i="20" s="1"/>
  <c r="J122" i="13"/>
  <c r="I126" i="20"/>
  <c r="E838" i="20"/>
  <c r="F838" i="20"/>
  <c r="D839" i="20" s="1"/>
  <c r="H466" i="13"/>
  <c r="I466" i="13"/>
  <c r="J466" i="13" s="1"/>
  <c r="F482" i="20"/>
  <c r="D483" i="20" s="1"/>
  <c r="E482" i="20"/>
  <c r="G482" i="20"/>
  <c r="H482" i="20"/>
  <c r="I482" i="20" s="1"/>
  <c r="E1243" i="13"/>
  <c r="F1243" i="13"/>
  <c r="D1244" i="13" s="1"/>
  <c r="F985" i="13"/>
  <c r="D986" i="13" s="1"/>
  <c r="E985" i="13"/>
  <c r="H123" i="13"/>
  <c r="I123" i="13"/>
  <c r="J123" i="13" s="1"/>
  <c r="E573" i="20"/>
  <c r="F573" i="20" s="1"/>
  <c r="E208" i="13"/>
  <c r="F208" i="13" s="1"/>
  <c r="D636" i="13" l="1"/>
  <c r="G635" i="13"/>
  <c r="D209" i="13"/>
  <c r="G208" i="13"/>
  <c r="D574" i="20"/>
  <c r="G573" i="20"/>
  <c r="H573" i="20"/>
  <c r="D1193" i="20"/>
  <c r="G1192" i="20"/>
  <c r="H1192" i="20"/>
  <c r="I1192" i="20" s="1"/>
  <c r="D928" i="20"/>
  <c r="G927" i="20"/>
  <c r="H927" i="20"/>
  <c r="D1072" i="13"/>
  <c r="G1071" i="13"/>
  <c r="D125" i="13"/>
  <c r="G124" i="13"/>
  <c r="D662" i="20"/>
  <c r="G661" i="20"/>
  <c r="H661" i="20"/>
  <c r="I661" i="20" s="1"/>
  <c r="D556" i="13"/>
  <c r="G555" i="13"/>
  <c r="D468" i="13"/>
  <c r="G467" i="13"/>
  <c r="D725" i="13"/>
  <c r="G724" i="13"/>
  <c r="D1110" i="20"/>
  <c r="G1109" i="20"/>
  <c r="H1109" i="20"/>
  <c r="D379" i="13"/>
  <c r="G378" i="13"/>
  <c r="E986" i="13"/>
  <c r="F986" i="13"/>
  <c r="D987" i="13" s="1"/>
  <c r="G985" i="13"/>
  <c r="G1243" i="13"/>
  <c r="E483" i="20"/>
  <c r="F483" i="20"/>
  <c r="D484" i="20" s="1"/>
  <c r="G838" i="20"/>
  <c r="H634" i="13"/>
  <c r="I634" i="13"/>
  <c r="B171" i="2"/>
  <c r="B172" i="2" s="1"/>
  <c r="H1155" i="13"/>
  <c r="I1155" i="13"/>
  <c r="E297" i="13"/>
  <c r="F297" i="13" s="1"/>
  <c r="E220" i="20"/>
  <c r="F220" i="20" s="1"/>
  <c r="H808" i="13"/>
  <c r="I808" i="13"/>
  <c r="E396" i="20"/>
  <c r="F396" i="20" s="1"/>
  <c r="E751" i="20"/>
  <c r="F751" i="20" s="1"/>
  <c r="E309" i="20"/>
  <c r="F309" i="20" s="1"/>
  <c r="J984" i="13"/>
  <c r="I394" i="20"/>
  <c r="G897" i="13"/>
  <c r="G127" i="20"/>
  <c r="I127" i="20" s="1"/>
  <c r="J896" i="13"/>
  <c r="H750" i="20"/>
  <c r="H554" i="13"/>
  <c r="I554" i="13"/>
  <c r="J554" i="13" s="1"/>
  <c r="E1156" i="13"/>
  <c r="F1156" i="13" s="1"/>
  <c r="E898" i="13"/>
  <c r="F898" i="13"/>
  <c r="D899" i="13" s="1"/>
  <c r="G296" i="13"/>
  <c r="E128" i="20"/>
  <c r="F128" i="20"/>
  <c r="D129" i="20" s="1"/>
  <c r="H219" i="20"/>
  <c r="F809" i="13"/>
  <c r="D810" i="13" s="1"/>
  <c r="E809" i="13"/>
  <c r="H395" i="20"/>
  <c r="G750" i="20"/>
  <c r="I1018" i="20"/>
  <c r="E839" i="20"/>
  <c r="F839" i="20"/>
  <c r="D840" i="20" s="1"/>
  <c r="G839" i="20"/>
  <c r="E1244" i="13"/>
  <c r="F1244" i="13"/>
  <c r="D1245" i="13" s="1"/>
  <c r="G1244" i="13"/>
  <c r="H838" i="20"/>
  <c r="I838" i="20" s="1"/>
  <c r="H377" i="13"/>
  <c r="I377" i="13"/>
  <c r="J377" i="13" s="1"/>
  <c r="J207" i="13"/>
  <c r="J1242" i="13"/>
  <c r="I749" i="20"/>
  <c r="G219" i="20"/>
  <c r="J295" i="13"/>
  <c r="G395" i="20"/>
  <c r="E1019" i="20"/>
  <c r="F1019" i="20"/>
  <c r="D1020" i="20" s="1"/>
  <c r="G1019" i="20"/>
  <c r="D298" i="13" l="1"/>
  <c r="G297" i="13"/>
  <c r="D397" i="20"/>
  <c r="H396" i="20"/>
  <c r="I396" i="20" s="1"/>
  <c r="G396" i="20"/>
  <c r="D1157" i="13"/>
  <c r="G1156" i="13"/>
  <c r="D310" i="20"/>
  <c r="H309" i="20"/>
  <c r="G309" i="20"/>
  <c r="D752" i="20"/>
  <c r="H751" i="20"/>
  <c r="I751" i="20" s="1"/>
  <c r="G751" i="20"/>
  <c r="D221" i="20"/>
  <c r="G220" i="20"/>
  <c r="H220" i="20"/>
  <c r="I220" i="20" s="1"/>
  <c r="E1020" i="20"/>
  <c r="F1020" i="20"/>
  <c r="D1021" i="20" s="1"/>
  <c r="H1020" i="20"/>
  <c r="E1245" i="13"/>
  <c r="F1245" i="13" s="1"/>
  <c r="G809" i="13"/>
  <c r="H128" i="20"/>
  <c r="H296" i="13"/>
  <c r="I296" i="13"/>
  <c r="H897" i="13"/>
  <c r="I897" i="13"/>
  <c r="B173" i="2"/>
  <c r="B174" i="2" s="1"/>
  <c r="H483" i="20"/>
  <c r="I483" i="20" s="1"/>
  <c r="H1243" i="13"/>
  <c r="I1243" i="13"/>
  <c r="J1243" i="13" s="1"/>
  <c r="H467" i="13"/>
  <c r="I467" i="13"/>
  <c r="J467" i="13" s="1"/>
  <c r="E125" i="13"/>
  <c r="F125" i="13"/>
  <c r="D126" i="13" s="1"/>
  <c r="E1193" i="20"/>
  <c r="F1193" i="20" s="1"/>
  <c r="H208" i="13"/>
  <c r="I208" i="13"/>
  <c r="H1244" i="13"/>
  <c r="I1244" i="13"/>
  <c r="H1019" i="20"/>
  <c r="I1019" i="20" s="1"/>
  <c r="H839" i="20"/>
  <c r="I839" i="20" s="1"/>
  <c r="G128" i="20"/>
  <c r="G898" i="13"/>
  <c r="I750" i="20"/>
  <c r="J1155" i="13"/>
  <c r="J634" i="13"/>
  <c r="G483" i="20"/>
  <c r="H985" i="13"/>
  <c r="I985" i="13"/>
  <c r="H378" i="13"/>
  <c r="I378" i="13"/>
  <c r="E1110" i="20"/>
  <c r="F1110" i="20" s="1"/>
  <c r="F468" i="13"/>
  <c r="D469" i="13" s="1"/>
  <c r="E468" i="13"/>
  <c r="H1071" i="13"/>
  <c r="I1071" i="13"/>
  <c r="J1071" i="13" s="1"/>
  <c r="E928" i="20"/>
  <c r="F928" i="20" s="1"/>
  <c r="I573" i="20"/>
  <c r="E209" i="13"/>
  <c r="F209" i="13" s="1"/>
  <c r="E810" i="13"/>
  <c r="F810" i="13"/>
  <c r="D811" i="13" s="1"/>
  <c r="F129" i="20"/>
  <c r="D130" i="20" s="1"/>
  <c r="E129" i="20"/>
  <c r="E899" i="13"/>
  <c r="F899" i="13" s="1"/>
  <c r="E484" i="20"/>
  <c r="F484" i="20"/>
  <c r="D485" i="20" s="1"/>
  <c r="E987" i="13"/>
  <c r="F987" i="13" s="1"/>
  <c r="E379" i="13"/>
  <c r="F379" i="13" s="1"/>
  <c r="H724" i="13"/>
  <c r="I724" i="13"/>
  <c r="J724" i="13" s="1"/>
  <c r="H555" i="13"/>
  <c r="I555" i="13"/>
  <c r="J555" i="13" s="1"/>
  <c r="E662" i="20"/>
  <c r="F662" i="20" s="1"/>
  <c r="E1072" i="13"/>
  <c r="F1072" i="13"/>
  <c r="D1073" i="13" s="1"/>
  <c r="H635" i="13"/>
  <c r="I635" i="13"/>
  <c r="E840" i="20"/>
  <c r="F840" i="20" s="1"/>
  <c r="I395" i="20"/>
  <c r="I219" i="20"/>
  <c r="J808" i="13"/>
  <c r="G986" i="13"/>
  <c r="I1109" i="20"/>
  <c r="E725" i="13"/>
  <c r="F725" i="13" s="1"/>
  <c r="E556" i="13"/>
  <c r="F556" i="13"/>
  <c r="D557" i="13" s="1"/>
  <c r="H124" i="13"/>
  <c r="I124" i="13"/>
  <c r="J124" i="13" s="1"/>
  <c r="I927" i="20"/>
  <c r="F574" i="20"/>
  <c r="D575" i="20" s="1"/>
  <c r="E574" i="20"/>
  <c r="E636" i="13"/>
  <c r="F636" i="13" s="1"/>
  <c r="D637" i="13" l="1"/>
  <c r="G636" i="13"/>
  <c r="D380" i="13"/>
  <c r="G379" i="13"/>
  <c r="D900" i="13"/>
  <c r="G899" i="13"/>
  <c r="D1111" i="20"/>
  <c r="G1110" i="20"/>
  <c r="H1110" i="20"/>
  <c r="D1246" i="13"/>
  <c r="G1245" i="13"/>
  <c r="D726" i="13"/>
  <c r="G725" i="13"/>
  <c r="D988" i="13"/>
  <c r="G987" i="13"/>
  <c r="D1194" i="20"/>
  <c r="G1193" i="20"/>
  <c r="H1193" i="20"/>
  <c r="I1193" i="20" s="1"/>
  <c r="D841" i="20"/>
  <c r="H840" i="20"/>
  <c r="I840" i="20" s="1"/>
  <c r="G840" i="20"/>
  <c r="D210" i="13"/>
  <c r="G209" i="13"/>
  <c r="D663" i="20"/>
  <c r="G662" i="20"/>
  <c r="H662" i="20"/>
  <c r="I662" i="20" s="1"/>
  <c r="D929" i="20"/>
  <c r="G928" i="20"/>
  <c r="H928" i="20"/>
  <c r="E557" i="13"/>
  <c r="F557" i="13"/>
  <c r="D558" i="13" s="1"/>
  <c r="E130" i="20"/>
  <c r="F130" i="20" s="1"/>
  <c r="E469" i="13"/>
  <c r="F469" i="13" s="1"/>
  <c r="H809" i="13"/>
  <c r="I809" i="13"/>
  <c r="E310" i="20"/>
  <c r="F310" i="20" s="1"/>
  <c r="E575" i="20"/>
  <c r="F575" i="20"/>
  <c r="D576" i="20" s="1"/>
  <c r="E485" i="20"/>
  <c r="F485" i="20"/>
  <c r="D486" i="20" s="1"/>
  <c r="H574" i="20"/>
  <c r="G1072" i="13"/>
  <c r="H129" i="20"/>
  <c r="G810" i="13"/>
  <c r="J378" i="13"/>
  <c r="H898" i="13"/>
  <c r="I898" i="13"/>
  <c r="J1244" i="13"/>
  <c r="G125" i="13"/>
  <c r="J296" i="13"/>
  <c r="G1020" i="20"/>
  <c r="I1020" i="20" s="1"/>
  <c r="E752" i="20"/>
  <c r="F752" i="20" s="1"/>
  <c r="H1156" i="13"/>
  <c r="I1156" i="13"/>
  <c r="J1156" i="13" s="1"/>
  <c r="F397" i="20"/>
  <c r="D398" i="20" s="1"/>
  <c r="E397" i="20"/>
  <c r="G397" i="20"/>
  <c r="H397" i="20"/>
  <c r="I397" i="20" s="1"/>
  <c r="G574" i="20"/>
  <c r="G556" i="13"/>
  <c r="E1073" i="13"/>
  <c r="F1073" i="13"/>
  <c r="D1074" i="13" s="1"/>
  <c r="H484" i="20"/>
  <c r="G129" i="20"/>
  <c r="E811" i="13"/>
  <c r="F811" i="13" s="1"/>
  <c r="E126" i="13"/>
  <c r="F126" i="13" s="1"/>
  <c r="C59" i="20"/>
  <c r="B175" i="2"/>
  <c r="B176" i="2" s="1"/>
  <c r="B177" i="2" s="1"/>
  <c r="C76" i="20"/>
  <c r="C59" i="13"/>
  <c r="C76" i="13"/>
  <c r="E34" i="2"/>
  <c r="E1021" i="20"/>
  <c r="F1021" i="20"/>
  <c r="D1022" i="20" s="1"/>
  <c r="G1021" i="20"/>
  <c r="H1021" i="20"/>
  <c r="I1021" i="20" s="1"/>
  <c r="E221" i="20"/>
  <c r="F221" i="20" s="1"/>
  <c r="E1157" i="13"/>
  <c r="F1157" i="13"/>
  <c r="D1158" i="13" s="1"/>
  <c r="G1157" i="13"/>
  <c r="H297" i="13"/>
  <c r="I297" i="13"/>
  <c r="H986" i="13"/>
  <c r="I986" i="13"/>
  <c r="J986" i="13" s="1"/>
  <c r="J635" i="13"/>
  <c r="G484" i="20"/>
  <c r="G468" i="13"/>
  <c r="J985" i="13"/>
  <c r="J208" i="13"/>
  <c r="J897" i="13"/>
  <c r="I128" i="20"/>
  <c r="I309" i="20"/>
  <c r="F298" i="13"/>
  <c r="D299" i="13" s="1"/>
  <c r="E298" i="13"/>
  <c r="D131" i="20" l="1"/>
  <c r="G130" i="20"/>
  <c r="H130" i="20"/>
  <c r="I130" i="20" s="1"/>
  <c r="D127" i="13"/>
  <c r="G126" i="13"/>
  <c r="D753" i="20"/>
  <c r="G752" i="20"/>
  <c r="H752" i="20"/>
  <c r="I752" i="20" s="1"/>
  <c r="D311" i="20"/>
  <c r="G310" i="20"/>
  <c r="H310" i="20"/>
  <c r="I310" i="20" s="1"/>
  <c r="D222" i="20"/>
  <c r="G221" i="20"/>
  <c r="H221" i="20"/>
  <c r="D812" i="13"/>
  <c r="G811" i="13"/>
  <c r="D470" i="13"/>
  <c r="G469" i="13"/>
  <c r="F1074" i="13"/>
  <c r="D1075" i="13" s="1"/>
  <c r="G1074" i="13"/>
  <c r="E1074" i="13"/>
  <c r="E177" i="2"/>
  <c r="H1072" i="13"/>
  <c r="I1072" i="13"/>
  <c r="J1072" i="13" s="1"/>
  <c r="E486" i="20"/>
  <c r="F486" i="20"/>
  <c r="D487" i="20" s="1"/>
  <c r="H486" i="20"/>
  <c r="E576" i="20"/>
  <c r="F576" i="20"/>
  <c r="D577" i="20" s="1"/>
  <c r="H576" i="20"/>
  <c r="E558" i="13"/>
  <c r="F558" i="13"/>
  <c r="D559" i="13" s="1"/>
  <c r="E663" i="20"/>
  <c r="F663" i="20" s="1"/>
  <c r="F1194" i="20"/>
  <c r="D1195" i="20" s="1"/>
  <c r="E1194" i="20"/>
  <c r="E726" i="13"/>
  <c r="F726" i="13" s="1"/>
  <c r="H379" i="13"/>
  <c r="I379" i="13"/>
  <c r="J379" i="13" s="1"/>
  <c r="B179" i="2"/>
  <c r="B180" i="2" s="1"/>
  <c r="B181" i="2" s="1"/>
  <c r="H125" i="13"/>
  <c r="I125" i="13"/>
  <c r="J125" i="13" s="1"/>
  <c r="I574" i="20"/>
  <c r="G557" i="13"/>
  <c r="E929" i="20"/>
  <c r="F929" i="20"/>
  <c r="D930" i="20" s="1"/>
  <c r="H209" i="13"/>
  <c r="I209" i="13"/>
  <c r="J209" i="13" s="1"/>
  <c r="E841" i="20"/>
  <c r="F841" i="20"/>
  <c r="D842" i="20" s="1"/>
  <c r="G841" i="20"/>
  <c r="H841" i="20"/>
  <c r="I841" i="20" s="1"/>
  <c r="H987" i="13"/>
  <c r="I987" i="13"/>
  <c r="J987" i="13" s="1"/>
  <c r="H1245" i="13"/>
  <c r="I1245" i="13"/>
  <c r="J1245" i="13" s="1"/>
  <c r="E1111" i="20"/>
  <c r="F1111" i="20"/>
  <c r="D1112" i="20" s="1"/>
  <c r="H1111" i="20"/>
  <c r="E380" i="13"/>
  <c r="F380" i="13" s="1"/>
  <c r="I484" i="20"/>
  <c r="H556" i="13"/>
  <c r="I556" i="13"/>
  <c r="J556" i="13" s="1"/>
  <c r="H810" i="13"/>
  <c r="I810" i="13"/>
  <c r="J810" i="13" s="1"/>
  <c r="H485" i="20"/>
  <c r="H575" i="20"/>
  <c r="E210" i="13"/>
  <c r="F210" i="13" s="1"/>
  <c r="E988" i="13"/>
  <c r="F988" i="13"/>
  <c r="D989" i="13" s="1"/>
  <c r="E1246" i="13"/>
  <c r="F1246" i="13"/>
  <c r="D1247" i="13" s="1"/>
  <c r="H899" i="13"/>
  <c r="I899" i="13"/>
  <c r="H636" i="13"/>
  <c r="I636" i="13"/>
  <c r="F299" i="13"/>
  <c r="D300" i="13" s="1"/>
  <c r="E299" i="13"/>
  <c r="H1157" i="13"/>
  <c r="I1157" i="13"/>
  <c r="J1157" i="13" s="1"/>
  <c r="G298" i="13"/>
  <c r="H468" i="13"/>
  <c r="I468" i="13"/>
  <c r="F1158" i="13"/>
  <c r="D1159" i="13" s="1"/>
  <c r="E1158" i="13"/>
  <c r="E1022" i="20"/>
  <c r="F1022" i="20" s="1"/>
  <c r="J297" i="13"/>
  <c r="G1073" i="13"/>
  <c r="E398" i="20"/>
  <c r="F398" i="20" s="1"/>
  <c r="J898" i="13"/>
  <c r="I129" i="20"/>
  <c r="G485" i="20"/>
  <c r="G575" i="20"/>
  <c r="J809" i="13"/>
  <c r="I928" i="20"/>
  <c r="H725" i="13"/>
  <c r="I725" i="13"/>
  <c r="J725" i="13" s="1"/>
  <c r="I1110" i="20"/>
  <c r="E900" i="13"/>
  <c r="F900" i="13" s="1"/>
  <c r="E637" i="13"/>
  <c r="F637" i="13"/>
  <c r="D638" i="13" s="1"/>
  <c r="G637" i="13"/>
  <c r="D211" i="13" l="1"/>
  <c r="G210" i="13"/>
  <c r="D727" i="13"/>
  <c r="G726" i="13"/>
  <c r="D381" i="13"/>
  <c r="G380" i="13"/>
  <c r="D901" i="13"/>
  <c r="G900" i="13"/>
  <c r="D399" i="20"/>
  <c r="H398" i="20"/>
  <c r="G398" i="20"/>
  <c r="D1023" i="20"/>
  <c r="G1022" i="20"/>
  <c r="H1022" i="20"/>
  <c r="I1022" i="20" s="1"/>
  <c r="D664" i="20"/>
  <c r="G663" i="20"/>
  <c r="H663" i="20"/>
  <c r="H1073" i="13"/>
  <c r="I1073" i="13"/>
  <c r="J1073" i="13" s="1"/>
  <c r="G1159" i="13"/>
  <c r="E1159" i="13"/>
  <c r="F1159" i="13"/>
  <c r="D1160" i="13" s="1"/>
  <c r="I1111" i="20"/>
  <c r="E930" i="20"/>
  <c r="F930" i="20" s="1"/>
  <c r="H811" i="13"/>
  <c r="I811" i="13"/>
  <c r="J811" i="13" s="1"/>
  <c r="E127" i="13"/>
  <c r="F127" i="13" s="1"/>
  <c r="J468" i="13"/>
  <c r="J636" i="13"/>
  <c r="G1246" i="13"/>
  <c r="G1111" i="20"/>
  <c r="H1194" i="20"/>
  <c r="G558" i="13"/>
  <c r="G576" i="20"/>
  <c r="I576" i="20" s="1"/>
  <c r="G486" i="20"/>
  <c r="E1075" i="13"/>
  <c r="F1075" i="13" s="1"/>
  <c r="E812" i="13"/>
  <c r="F812" i="13" s="1"/>
  <c r="G300" i="13"/>
  <c r="E300" i="13"/>
  <c r="F300" i="13"/>
  <c r="D301" i="13" s="1"/>
  <c r="F989" i="13"/>
  <c r="D990" i="13" s="1"/>
  <c r="G989" i="13"/>
  <c r="E989" i="13"/>
  <c r="E1195" i="20"/>
  <c r="F1195" i="20"/>
  <c r="D1196" i="20" s="1"/>
  <c r="G1195" i="20"/>
  <c r="I486" i="20"/>
  <c r="H1074" i="13"/>
  <c r="I1074" i="13"/>
  <c r="J1074" i="13" s="1"/>
  <c r="E222" i="20"/>
  <c r="F222" i="20" s="1"/>
  <c r="H637" i="13"/>
  <c r="I637" i="13"/>
  <c r="J637" i="13" s="1"/>
  <c r="E1247" i="13"/>
  <c r="F1247" i="13"/>
  <c r="D1248" i="13" s="1"/>
  <c r="G988" i="13"/>
  <c r="I575" i="20"/>
  <c r="E1112" i="20"/>
  <c r="F1112" i="20" s="1"/>
  <c r="E842" i="20"/>
  <c r="F842" i="20" s="1"/>
  <c r="H929" i="20"/>
  <c r="I929" i="20" s="1"/>
  <c r="H557" i="13"/>
  <c r="I557" i="13"/>
  <c r="J557" i="13" s="1"/>
  <c r="G1194" i="20"/>
  <c r="E559" i="13"/>
  <c r="F559" i="13" s="1"/>
  <c r="E577" i="20"/>
  <c r="F577" i="20" s="1"/>
  <c r="E487" i="20"/>
  <c r="F487" i="20" s="1"/>
  <c r="H469" i="13"/>
  <c r="I469" i="13"/>
  <c r="J469" i="13" s="1"/>
  <c r="I221" i="20"/>
  <c r="E753" i="20"/>
  <c r="F753" i="20" s="1"/>
  <c r="E638" i="13"/>
  <c r="F638" i="13" s="1"/>
  <c r="G1158" i="13"/>
  <c r="H298" i="13"/>
  <c r="I298" i="13"/>
  <c r="J298" i="13" s="1"/>
  <c r="G299" i="13"/>
  <c r="J899" i="13"/>
  <c r="I485" i="20"/>
  <c r="G929" i="20"/>
  <c r="E186" i="2"/>
  <c r="B182" i="2"/>
  <c r="B183" i="2" s="1"/>
  <c r="B184" i="2" s="1"/>
  <c r="B185" i="2" s="1"/>
  <c r="B186" i="2" s="1"/>
  <c r="E470" i="13"/>
  <c r="F470" i="13" s="1"/>
  <c r="E311" i="20"/>
  <c r="F311" i="20" s="1"/>
  <c r="H126" i="13"/>
  <c r="I126" i="13"/>
  <c r="E131" i="20"/>
  <c r="F131" i="20" s="1"/>
  <c r="D132" i="20" l="1"/>
  <c r="G131" i="20"/>
  <c r="H131" i="20"/>
  <c r="I131" i="20" s="1"/>
  <c r="D128" i="13"/>
  <c r="G127" i="13"/>
  <c r="D471" i="13"/>
  <c r="G470" i="13"/>
  <c r="D1076" i="13"/>
  <c r="G1075" i="13"/>
  <c r="D560" i="13"/>
  <c r="G559" i="13"/>
  <c r="D639" i="13"/>
  <c r="G638" i="13"/>
  <c r="D843" i="20"/>
  <c r="G842" i="20"/>
  <c r="H842" i="20"/>
  <c r="I842" i="20" s="1"/>
  <c r="D223" i="20"/>
  <c r="H222" i="20"/>
  <c r="G222" i="20"/>
  <c r="D578" i="20"/>
  <c r="G577" i="20"/>
  <c r="H577" i="20"/>
  <c r="D931" i="20"/>
  <c r="G930" i="20"/>
  <c r="H930" i="20"/>
  <c r="I930" i="20" s="1"/>
  <c r="D312" i="20"/>
  <c r="G311" i="20"/>
  <c r="H311" i="20"/>
  <c r="I311" i="20" s="1"/>
  <c r="D754" i="20"/>
  <c r="H753" i="20"/>
  <c r="G753" i="20"/>
  <c r="D488" i="20"/>
  <c r="G487" i="20"/>
  <c r="H487" i="20"/>
  <c r="D1113" i="20"/>
  <c r="G1112" i="20"/>
  <c r="H1112" i="20"/>
  <c r="I1112" i="20" s="1"/>
  <c r="D813" i="13"/>
  <c r="G812" i="13"/>
  <c r="E1248" i="13"/>
  <c r="F1248" i="13" s="1"/>
  <c r="H300" i="13"/>
  <c r="I300" i="13"/>
  <c r="J300" i="13" s="1"/>
  <c r="H1246" i="13"/>
  <c r="I1246" i="13"/>
  <c r="E1023" i="20"/>
  <c r="F1023" i="20" s="1"/>
  <c r="E1196" i="20"/>
  <c r="F1196" i="20" s="1"/>
  <c r="E990" i="13"/>
  <c r="F990" i="13" s="1"/>
  <c r="H558" i="13"/>
  <c r="I558" i="13"/>
  <c r="E664" i="20"/>
  <c r="F664" i="20"/>
  <c r="D665" i="20" s="1"/>
  <c r="E901" i="13"/>
  <c r="F901" i="13" s="1"/>
  <c r="E727" i="13"/>
  <c r="F727" i="13" s="1"/>
  <c r="H989" i="13"/>
  <c r="I989" i="13"/>
  <c r="J989" i="13" s="1"/>
  <c r="H1159" i="13"/>
  <c r="I1159" i="13"/>
  <c r="J1159" i="13" s="1"/>
  <c r="H900" i="13"/>
  <c r="I900" i="13"/>
  <c r="J900" i="13" s="1"/>
  <c r="J126" i="13"/>
  <c r="H988" i="13"/>
  <c r="I988" i="13"/>
  <c r="E301" i="13"/>
  <c r="F301" i="13" s="1"/>
  <c r="I1194" i="20"/>
  <c r="F1160" i="13"/>
  <c r="D1161" i="13" s="1"/>
  <c r="E1160" i="13"/>
  <c r="G1160" i="13"/>
  <c r="I398" i="20"/>
  <c r="H380" i="13"/>
  <c r="I380" i="13"/>
  <c r="H210" i="13"/>
  <c r="I210" i="13"/>
  <c r="H299" i="13"/>
  <c r="I299" i="13"/>
  <c r="H726" i="13"/>
  <c r="I726" i="13"/>
  <c r="B188" i="2"/>
  <c r="B189" i="2" s="1"/>
  <c r="H1158" i="13"/>
  <c r="I1158" i="13"/>
  <c r="G1247" i="13"/>
  <c r="H1195" i="20"/>
  <c r="I1195" i="20" s="1"/>
  <c r="I663" i="20"/>
  <c r="F399" i="20"/>
  <c r="D400" i="20" s="1"/>
  <c r="E399" i="20"/>
  <c r="H399" i="20"/>
  <c r="E381" i="13"/>
  <c r="F381" i="13" s="1"/>
  <c r="E211" i="13"/>
  <c r="F211" i="13" s="1"/>
  <c r="D1249" i="13" l="1"/>
  <c r="G1248" i="13"/>
  <c r="D991" i="13"/>
  <c r="G990" i="13"/>
  <c r="D902" i="13"/>
  <c r="G901" i="13"/>
  <c r="D212" i="13"/>
  <c r="G211" i="13"/>
  <c r="D382" i="13"/>
  <c r="G381" i="13"/>
  <c r="D1197" i="20"/>
  <c r="G1196" i="20"/>
  <c r="H1196" i="20"/>
  <c r="D302" i="13"/>
  <c r="G301" i="13"/>
  <c r="D728" i="13"/>
  <c r="G727" i="13"/>
  <c r="D1024" i="20"/>
  <c r="H1023" i="20"/>
  <c r="G1023" i="20"/>
  <c r="G399" i="20"/>
  <c r="J299" i="13"/>
  <c r="J380" i="13"/>
  <c r="E488" i="20"/>
  <c r="F488" i="20" s="1"/>
  <c r="F578" i="20"/>
  <c r="D579" i="20" s="1"/>
  <c r="E578" i="20"/>
  <c r="E639" i="13"/>
  <c r="F639" i="13" s="1"/>
  <c r="E1076" i="13"/>
  <c r="F1076" i="13" s="1"/>
  <c r="E128" i="13"/>
  <c r="F128" i="13" s="1"/>
  <c r="H1160" i="13"/>
  <c r="I1160" i="13"/>
  <c r="E665" i="20"/>
  <c r="F665" i="20"/>
  <c r="D666" i="20" s="1"/>
  <c r="E754" i="20"/>
  <c r="F754" i="20" s="1"/>
  <c r="H1247" i="13"/>
  <c r="I1247" i="13"/>
  <c r="J1247" i="13" s="1"/>
  <c r="B190" i="2"/>
  <c r="D193" i="2"/>
  <c r="E1161" i="13"/>
  <c r="F1161" i="13" s="1"/>
  <c r="H664" i="20"/>
  <c r="J558" i="13"/>
  <c r="H812" i="13"/>
  <c r="I812" i="13"/>
  <c r="F1113" i="20"/>
  <c r="D1114" i="20" s="1"/>
  <c r="E1113" i="20"/>
  <c r="E931" i="20"/>
  <c r="F931" i="20" s="1"/>
  <c r="H559" i="13"/>
  <c r="I559" i="13"/>
  <c r="H470" i="13"/>
  <c r="I470" i="13"/>
  <c r="E400" i="20"/>
  <c r="F400" i="20" s="1"/>
  <c r="J1158" i="13"/>
  <c r="J726" i="13"/>
  <c r="J210" i="13"/>
  <c r="J988" i="13"/>
  <c r="G664" i="20"/>
  <c r="J1246" i="13"/>
  <c r="E813" i="13"/>
  <c r="F813" i="13" s="1"/>
  <c r="I487" i="20"/>
  <c r="I753" i="20"/>
  <c r="E312" i="20"/>
  <c r="F312" i="20" s="1"/>
  <c r="I577" i="20"/>
  <c r="I222" i="20"/>
  <c r="E843" i="20"/>
  <c r="F843" i="20" s="1"/>
  <c r="E560" i="13"/>
  <c r="F560" i="13"/>
  <c r="D561" i="13" s="1"/>
  <c r="E471" i="13"/>
  <c r="F471" i="13" s="1"/>
  <c r="I399" i="20"/>
  <c r="E223" i="20"/>
  <c r="F223" i="20" s="1"/>
  <c r="H638" i="13"/>
  <c r="I638" i="13"/>
  <c r="H1075" i="13"/>
  <c r="I1075" i="13"/>
  <c r="H127" i="13"/>
  <c r="I127" i="13"/>
  <c r="F132" i="20"/>
  <c r="D133" i="20" s="1"/>
  <c r="E132" i="20"/>
  <c r="G132" i="20"/>
  <c r="H132" i="20"/>
  <c r="D1077" i="13" l="1"/>
  <c r="G1076" i="13"/>
  <c r="D401" i="20"/>
  <c r="H400" i="20"/>
  <c r="I400" i="20" s="1"/>
  <c r="G400" i="20"/>
  <c r="D640" i="13"/>
  <c r="G639" i="13"/>
  <c r="D489" i="20"/>
  <c r="G488" i="20"/>
  <c r="H488" i="20"/>
  <c r="I488" i="20" s="1"/>
  <c r="D472" i="13"/>
  <c r="G471" i="13"/>
  <c r="D1162" i="13"/>
  <c r="G1161" i="13"/>
  <c r="D814" i="13"/>
  <c r="G813" i="13"/>
  <c r="D932" i="20"/>
  <c r="H931" i="20"/>
  <c r="I931" i="20" s="1"/>
  <c r="G931" i="20"/>
  <c r="D755" i="20"/>
  <c r="G754" i="20"/>
  <c r="H754" i="20"/>
  <c r="I754" i="20" s="1"/>
  <c r="D844" i="20"/>
  <c r="G843" i="20"/>
  <c r="H843" i="20"/>
  <c r="D224" i="20"/>
  <c r="H223" i="20"/>
  <c r="G223" i="20"/>
  <c r="D313" i="20"/>
  <c r="G312" i="20"/>
  <c r="H312" i="20"/>
  <c r="D129" i="13"/>
  <c r="G128" i="13"/>
  <c r="E133" i="20"/>
  <c r="F133" i="20" s="1"/>
  <c r="E561" i="13"/>
  <c r="F561" i="13"/>
  <c r="D562" i="13" s="1"/>
  <c r="G1113" i="20"/>
  <c r="F666" i="20"/>
  <c r="D667" i="20" s="1"/>
  <c r="E666" i="20"/>
  <c r="G666" i="20"/>
  <c r="F579" i="20"/>
  <c r="D580" i="20" s="1"/>
  <c r="E579" i="20"/>
  <c r="G579" i="20"/>
  <c r="E728" i="13"/>
  <c r="F728" i="13" s="1"/>
  <c r="H211" i="13"/>
  <c r="I211" i="13"/>
  <c r="J211" i="13" s="1"/>
  <c r="H990" i="13"/>
  <c r="I990" i="13"/>
  <c r="J990" i="13" s="1"/>
  <c r="I132" i="20"/>
  <c r="J127" i="13"/>
  <c r="J638" i="13"/>
  <c r="J559" i="13"/>
  <c r="H578" i="20"/>
  <c r="I1023" i="20"/>
  <c r="H301" i="13"/>
  <c r="I301" i="13"/>
  <c r="J301" i="13" s="1"/>
  <c r="E1197" i="20"/>
  <c r="F1197" i="20"/>
  <c r="D1198" i="20" s="1"/>
  <c r="H1197" i="20"/>
  <c r="E212" i="13"/>
  <c r="F212" i="13"/>
  <c r="D213" i="13" s="1"/>
  <c r="E991" i="13"/>
  <c r="F991" i="13"/>
  <c r="D992" i="13" s="1"/>
  <c r="E1114" i="20"/>
  <c r="F1114" i="20"/>
  <c r="D1115" i="20" s="1"/>
  <c r="H1114" i="20"/>
  <c r="I664" i="20"/>
  <c r="H665" i="20"/>
  <c r="J1160" i="13"/>
  <c r="G578" i="20"/>
  <c r="E1024" i="20"/>
  <c r="F1024" i="20"/>
  <c r="D1025" i="20" s="1"/>
  <c r="H1024" i="20"/>
  <c r="E302" i="13"/>
  <c r="F302" i="13" s="1"/>
  <c r="H381" i="13"/>
  <c r="I381" i="13"/>
  <c r="H901" i="13"/>
  <c r="I901" i="13"/>
  <c r="H1248" i="13"/>
  <c r="I1248" i="13"/>
  <c r="J1075" i="13"/>
  <c r="G560" i="13"/>
  <c r="J470" i="13"/>
  <c r="H1113" i="20"/>
  <c r="I1113" i="20" s="1"/>
  <c r="J812" i="13"/>
  <c r="C35" i="13"/>
  <c r="C35" i="20"/>
  <c r="B191" i="2"/>
  <c r="B192" i="2" s="1"/>
  <c r="B193" i="2" s="1"/>
  <c r="G665" i="20"/>
  <c r="H727" i="13"/>
  <c r="I727" i="13"/>
  <c r="I1196" i="20"/>
  <c r="E382" i="13"/>
  <c r="F382" i="13" s="1"/>
  <c r="E902" i="13"/>
  <c r="F902" i="13" s="1"/>
  <c r="E1249" i="13"/>
  <c r="G1249" i="13"/>
  <c r="F1249" i="13"/>
  <c r="D1250" i="13" s="1"/>
  <c r="D729" i="13" l="1"/>
  <c r="G728" i="13"/>
  <c r="D903" i="13"/>
  <c r="G902" i="13"/>
  <c r="D303" i="13"/>
  <c r="G302" i="13"/>
  <c r="D134" i="20"/>
  <c r="H133" i="20"/>
  <c r="I133" i="20" s="1"/>
  <c r="G133" i="20"/>
  <c r="D383" i="13"/>
  <c r="G382" i="13"/>
  <c r="E199" i="2"/>
  <c r="B194" i="2"/>
  <c r="F1025" i="20"/>
  <c r="D1026" i="20" s="1"/>
  <c r="E1025" i="20"/>
  <c r="I665" i="20"/>
  <c r="E1115" i="20"/>
  <c r="F1115" i="20"/>
  <c r="D1116" i="20" s="1"/>
  <c r="G1115" i="20"/>
  <c r="H1115" i="20"/>
  <c r="I1115" i="20" s="1"/>
  <c r="G991" i="13"/>
  <c r="E562" i="13"/>
  <c r="F562" i="13"/>
  <c r="D563" i="13" s="1"/>
  <c r="E129" i="13"/>
  <c r="F129" i="13"/>
  <c r="D130" i="13" s="1"/>
  <c r="E755" i="20"/>
  <c r="F755" i="20" s="1"/>
  <c r="H813" i="13"/>
  <c r="I813" i="13"/>
  <c r="H471" i="13"/>
  <c r="I471" i="13"/>
  <c r="J471" i="13" s="1"/>
  <c r="F489" i="20"/>
  <c r="D490" i="20" s="1"/>
  <c r="E489" i="20"/>
  <c r="H1249" i="13"/>
  <c r="I1249" i="13"/>
  <c r="J727" i="13"/>
  <c r="J1248" i="13"/>
  <c r="J381" i="13"/>
  <c r="G212" i="13"/>
  <c r="G1197" i="20"/>
  <c r="I1197" i="20" s="1"/>
  <c r="G561" i="13"/>
  <c r="I312" i="20"/>
  <c r="I223" i="20"/>
  <c r="E844" i="20"/>
  <c r="F844" i="20"/>
  <c r="D845" i="20" s="1"/>
  <c r="G844" i="20"/>
  <c r="E814" i="13"/>
  <c r="F814" i="13"/>
  <c r="D815" i="13" s="1"/>
  <c r="E472" i="13"/>
  <c r="F472" i="13" s="1"/>
  <c r="H639" i="13"/>
  <c r="I639" i="13"/>
  <c r="E401" i="20"/>
  <c r="F401" i="20" s="1"/>
  <c r="E992" i="13"/>
  <c r="F992" i="13" s="1"/>
  <c r="E213" i="13"/>
  <c r="F213" i="13" s="1"/>
  <c r="E1198" i="20"/>
  <c r="F1198" i="20"/>
  <c r="D1199" i="20" s="1"/>
  <c r="G1198" i="20"/>
  <c r="E580" i="20"/>
  <c r="F580" i="20" s="1"/>
  <c r="E667" i="20"/>
  <c r="F667" i="20"/>
  <c r="D668" i="20" s="1"/>
  <c r="G667" i="20"/>
  <c r="E224" i="20"/>
  <c r="F224" i="20" s="1"/>
  <c r="H1161" i="13"/>
  <c r="I1161" i="13"/>
  <c r="J1161" i="13" s="1"/>
  <c r="E640" i="13"/>
  <c r="F640" i="13" s="1"/>
  <c r="H1076" i="13"/>
  <c r="I1076" i="13"/>
  <c r="J1076" i="13" s="1"/>
  <c r="E1250" i="13"/>
  <c r="F1250" i="13" s="1"/>
  <c r="H560" i="13"/>
  <c r="I560" i="13"/>
  <c r="J901" i="13"/>
  <c r="G1024" i="20"/>
  <c r="I1024" i="20" s="1"/>
  <c r="G1114" i="20"/>
  <c r="I1114" i="20" s="1"/>
  <c r="I578" i="20"/>
  <c r="H579" i="20"/>
  <c r="I579" i="20" s="1"/>
  <c r="H666" i="20"/>
  <c r="I666" i="20" s="1"/>
  <c r="H128" i="13"/>
  <c r="I128" i="13"/>
  <c r="E313" i="20"/>
  <c r="F313" i="20"/>
  <c r="D314" i="20" s="1"/>
  <c r="G313" i="20"/>
  <c r="I843" i="20"/>
  <c r="E932" i="20"/>
  <c r="F932" i="20" s="1"/>
  <c r="E1162" i="13"/>
  <c r="F1162" i="13"/>
  <c r="D1163" i="13" s="1"/>
  <c r="E1077" i="13"/>
  <c r="F1077" i="13" s="1"/>
  <c r="D641" i="13" l="1"/>
  <c r="G640" i="13"/>
  <c r="D1251" i="13"/>
  <c r="G1250" i="13"/>
  <c r="D993" i="13"/>
  <c r="G992" i="13"/>
  <c r="D756" i="20"/>
  <c r="G755" i="20"/>
  <c r="H755" i="20"/>
  <c r="D473" i="13"/>
  <c r="G472" i="13"/>
  <c r="D402" i="20"/>
  <c r="G401" i="20"/>
  <c r="H401" i="20"/>
  <c r="I401" i="20" s="1"/>
  <c r="D933" i="20"/>
  <c r="G932" i="20"/>
  <c r="H932" i="20"/>
  <c r="D1078" i="13"/>
  <c r="G1077" i="13"/>
  <c r="D225" i="20"/>
  <c r="H224" i="20"/>
  <c r="G224" i="20"/>
  <c r="D581" i="20"/>
  <c r="H580" i="20"/>
  <c r="I580" i="20" s="1"/>
  <c r="G580" i="20"/>
  <c r="D214" i="13"/>
  <c r="G213" i="13"/>
  <c r="F815" i="13"/>
  <c r="D816" i="13" s="1"/>
  <c r="E815" i="13"/>
  <c r="E314" i="20"/>
  <c r="F314" i="20"/>
  <c r="D315" i="20" s="1"/>
  <c r="E668" i="20"/>
  <c r="F668" i="20"/>
  <c r="D669" i="20" s="1"/>
  <c r="H561" i="13"/>
  <c r="I561" i="13"/>
  <c r="J561" i="13" s="1"/>
  <c r="E1026" i="20"/>
  <c r="F1026" i="20"/>
  <c r="D1027" i="20" s="1"/>
  <c r="H1026" i="20"/>
  <c r="G814" i="13"/>
  <c r="G489" i="20"/>
  <c r="G562" i="13"/>
  <c r="H1025" i="20"/>
  <c r="H382" i="13"/>
  <c r="I382" i="13"/>
  <c r="J382" i="13" s="1"/>
  <c r="E134" i="20"/>
  <c r="F134" i="20" s="1"/>
  <c r="E903" i="13"/>
  <c r="F903" i="13"/>
  <c r="D904" i="13" s="1"/>
  <c r="E1163" i="13"/>
  <c r="F1163" i="13"/>
  <c r="D1164" i="13" s="1"/>
  <c r="E1199" i="20"/>
  <c r="F1199" i="20"/>
  <c r="D1200" i="20" s="1"/>
  <c r="H1199" i="20"/>
  <c r="E845" i="20"/>
  <c r="F845" i="20" s="1"/>
  <c r="H489" i="20"/>
  <c r="E130" i="13"/>
  <c r="F130" i="13"/>
  <c r="D131" i="13" s="1"/>
  <c r="H902" i="13"/>
  <c r="I902" i="13"/>
  <c r="J902" i="13" s="1"/>
  <c r="G1162" i="13"/>
  <c r="H313" i="20"/>
  <c r="I313" i="20" s="1"/>
  <c r="J128" i="13"/>
  <c r="J560" i="13"/>
  <c r="H667" i="20"/>
  <c r="I667" i="20" s="1"/>
  <c r="H1198" i="20"/>
  <c r="I1198" i="20" s="1"/>
  <c r="J639" i="13"/>
  <c r="H844" i="20"/>
  <c r="I844" i="20" s="1"/>
  <c r="H212" i="13"/>
  <c r="I212" i="13"/>
  <c r="J212" i="13" s="1"/>
  <c r="J1249" i="13"/>
  <c r="J813" i="13"/>
  <c r="G129" i="13"/>
  <c r="F1116" i="20"/>
  <c r="D1117" i="20" s="1"/>
  <c r="E1116" i="20"/>
  <c r="G1025" i="20"/>
  <c r="D337" i="2"/>
  <c r="B195" i="2"/>
  <c r="E383" i="13"/>
  <c r="F383" i="13" s="1"/>
  <c r="H302" i="13"/>
  <c r="I302" i="13"/>
  <c r="H728" i="13"/>
  <c r="I728" i="13"/>
  <c r="F490" i="20"/>
  <c r="D491" i="20" s="1"/>
  <c r="E490" i="20"/>
  <c r="G490" i="20"/>
  <c r="E563" i="13"/>
  <c r="F563" i="13"/>
  <c r="D564" i="13" s="1"/>
  <c r="H991" i="13"/>
  <c r="I991" i="13"/>
  <c r="J991" i="13" s="1"/>
  <c r="E303" i="13"/>
  <c r="F303" i="13"/>
  <c r="D304" i="13" s="1"/>
  <c r="E729" i="13"/>
  <c r="F729" i="13" s="1"/>
  <c r="D730" i="13" l="1"/>
  <c r="G729" i="13"/>
  <c r="D384" i="13"/>
  <c r="G383" i="13"/>
  <c r="D846" i="20"/>
  <c r="G845" i="20"/>
  <c r="H845" i="20"/>
  <c r="I845" i="20" s="1"/>
  <c r="D135" i="20"/>
  <c r="G134" i="20"/>
  <c r="H134" i="20"/>
  <c r="I134" i="20" s="1"/>
  <c r="E564" i="13"/>
  <c r="F564" i="13" s="1"/>
  <c r="E1117" i="20"/>
  <c r="F1117" i="20"/>
  <c r="D1118" i="20" s="1"/>
  <c r="G1117" i="20"/>
  <c r="E904" i="13"/>
  <c r="F904" i="13" s="1"/>
  <c r="I1025" i="20"/>
  <c r="E669" i="20"/>
  <c r="F669" i="20" s="1"/>
  <c r="E315" i="20"/>
  <c r="F315" i="20"/>
  <c r="D316" i="20" s="1"/>
  <c r="G315" i="20"/>
  <c r="E816" i="13"/>
  <c r="F816" i="13"/>
  <c r="D817" i="13" s="1"/>
  <c r="E225" i="20"/>
  <c r="F225" i="20" s="1"/>
  <c r="E402" i="20"/>
  <c r="F402" i="20"/>
  <c r="D403" i="20" s="1"/>
  <c r="G402" i="20"/>
  <c r="H402" i="20"/>
  <c r="I402" i="20" s="1"/>
  <c r="H1250" i="13"/>
  <c r="I1250" i="13"/>
  <c r="J1250" i="13" s="1"/>
  <c r="J302" i="13"/>
  <c r="H1116" i="20"/>
  <c r="I1116" i="20" s="1"/>
  <c r="H129" i="13"/>
  <c r="I129" i="13"/>
  <c r="J129" i="13" s="1"/>
  <c r="H1162" i="13"/>
  <c r="I1162" i="13"/>
  <c r="J1162" i="13" s="1"/>
  <c r="G130" i="13"/>
  <c r="G1199" i="20"/>
  <c r="G1163" i="13"/>
  <c r="H562" i="13"/>
  <c r="I562" i="13"/>
  <c r="G1026" i="20"/>
  <c r="I1026" i="20" s="1"/>
  <c r="H213" i="13"/>
  <c r="I213" i="13"/>
  <c r="J213" i="13" s="1"/>
  <c r="E581" i="20"/>
  <c r="F581" i="20" s="1"/>
  <c r="H1077" i="13"/>
  <c r="I1077" i="13"/>
  <c r="J1077" i="13" s="1"/>
  <c r="E933" i="20"/>
  <c r="F933" i="20"/>
  <c r="D934" i="20" s="1"/>
  <c r="H472" i="13"/>
  <c r="I472" i="13"/>
  <c r="J472" i="13" s="1"/>
  <c r="E756" i="20"/>
  <c r="F756" i="20" s="1"/>
  <c r="E1251" i="13"/>
  <c r="F1251" i="13" s="1"/>
  <c r="E304" i="13"/>
  <c r="F304" i="13" s="1"/>
  <c r="I1199" i="20"/>
  <c r="F1200" i="20"/>
  <c r="D1201" i="20" s="1"/>
  <c r="E1200" i="20"/>
  <c r="F1027" i="20"/>
  <c r="D1028" i="20" s="1"/>
  <c r="E1027" i="20"/>
  <c r="H668" i="20"/>
  <c r="I668" i="20" s="1"/>
  <c r="H314" i="20"/>
  <c r="E214" i="13"/>
  <c r="F214" i="13" s="1"/>
  <c r="E1078" i="13"/>
  <c r="F1078" i="13" s="1"/>
  <c r="E473" i="13"/>
  <c r="F473" i="13" s="1"/>
  <c r="H992" i="13"/>
  <c r="I992" i="13"/>
  <c r="J992" i="13" s="1"/>
  <c r="H640" i="13"/>
  <c r="I640" i="13"/>
  <c r="J640" i="13" s="1"/>
  <c r="E131" i="13"/>
  <c r="F131" i="13"/>
  <c r="D132" i="13" s="1"/>
  <c r="F1164" i="13"/>
  <c r="D1165" i="13" s="1"/>
  <c r="E1164" i="13"/>
  <c r="G1164" i="13"/>
  <c r="G563" i="13"/>
  <c r="E491" i="20"/>
  <c r="F491" i="20"/>
  <c r="D492" i="20" s="1"/>
  <c r="B196" i="2"/>
  <c r="E200" i="2"/>
  <c r="G1116" i="20"/>
  <c r="G303" i="13"/>
  <c r="H490" i="20"/>
  <c r="I490" i="20" s="1"/>
  <c r="J728" i="13"/>
  <c r="I489" i="20"/>
  <c r="G903" i="13"/>
  <c r="H814" i="13"/>
  <c r="I814" i="13"/>
  <c r="J814" i="13" s="1"/>
  <c r="G668" i="20"/>
  <c r="G314" i="20"/>
  <c r="G815" i="13"/>
  <c r="I224" i="20"/>
  <c r="I932" i="20"/>
  <c r="I755" i="20"/>
  <c r="E993" i="13"/>
  <c r="F993" i="13" s="1"/>
  <c r="E641" i="13"/>
  <c r="F641" i="13"/>
  <c r="D642" i="13" s="1"/>
  <c r="D1252" i="13" l="1"/>
  <c r="G1251" i="13"/>
  <c r="D994" i="13"/>
  <c r="G993" i="13"/>
  <c r="D582" i="20"/>
  <c r="H581" i="20"/>
  <c r="G581" i="20"/>
  <c r="D474" i="13"/>
  <c r="G473" i="13"/>
  <c r="D757" i="20"/>
  <c r="H756" i="20"/>
  <c r="G756" i="20"/>
  <c r="D226" i="20"/>
  <c r="G225" i="20"/>
  <c r="H225" i="20"/>
  <c r="I225" i="20" s="1"/>
  <c r="D905" i="13"/>
  <c r="G904" i="13"/>
  <c r="D565" i="13"/>
  <c r="G564" i="13"/>
  <c r="D1079" i="13"/>
  <c r="G1078" i="13"/>
  <c r="D215" i="13"/>
  <c r="G214" i="13"/>
  <c r="D305" i="13"/>
  <c r="G304" i="13"/>
  <c r="D670" i="20"/>
  <c r="H669" i="20"/>
  <c r="G669" i="20"/>
  <c r="E642" i="13"/>
  <c r="F642" i="13" s="1"/>
  <c r="F492" i="20"/>
  <c r="D493" i="20" s="1"/>
  <c r="E492" i="20"/>
  <c r="G132" i="13"/>
  <c r="E132" i="13"/>
  <c r="F132" i="13"/>
  <c r="D133" i="13" s="1"/>
  <c r="E1201" i="20"/>
  <c r="F1201" i="20" s="1"/>
  <c r="E135" i="20"/>
  <c r="F135" i="20"/>
  <c r="D136" i="20" s="1"/>
  <c r="H383" i="13"/>
  <c r="I383" i="13"/>
  <c r="J383" i="13" s="1"/>
  <c r="G641" i="13"/>
  <c r="H815" i="13"/>
  <c r="I815" i="13"/>
  <c r="J815" i="13" s="1"/>
  <c r="B198" i="2"/>
  <c r="E201" i="2"/>
  <c r="H1027" i="20"/>
  <c r="H1200" i="20"/>
  <c r="I1200" i="20" s="1"/>
  <c r="H1163" i="13"/>
  <c r="I1163" i="13"/>
  <c r="G816" i="13"/>
  <c r="E316" i="20"/>
  <c r="F316" i="20"/>
  <c r="D317" i="20" s="1"/>
  <c r="E1118" i="20"/>
  <c r="F1118" i="20" s="1"/>
  <c r="E384" i="13"/>
  <c r="F384" i="13" s="1"/>
  <c r="H1164" i="13"/>
  <c r="I1164" i="13"/>
  <c r="J1164" i="13" s="1"/>
  <c r="E1028" i="20"/>
  <c r="F1028" i="20" s="1"/>
  <c r="H491" i="20"/>
  <c r="I491" i="20" s="1"/>
  <c r="F1165" i="13"/>
  <c r="D1166" i="13" s="1"/>
  <c r="E1165" i="13"/>
  <c r="G1165" i="13"/>
  <c r="H933" i="20"/>
  <c r="I933" i="20" s="1"/>
  <c r="F403" i="20"/>
  <c r="D404" i="20" s="1"/>
  <c r="E403" i="20"/>
  <c r="G403" i="20"/>
  <c r="H403" i="20"/>
  <c r="I403" i="20" s="1"/>
  <c r="H729" i="13"/>
  <c r="I729" i="13"/>
  <c r="E934" i="20"/>
  <c r="F934" i="20"/>
  <c r="D935" i="20" s="1"/>
  <c r="E817" i="13"/>
  <c r="F817" i="13" s="1"/>
  <c r="H903" i="13"/>
  <c r="I903" i="13"/>
  <c r="J903" i="13" s="1"/>
  <c r="H303" i="13"/>
  <c r="I303" i="13"/>
  <c r="H563" i="13"/>
  <c r="I563" i="13"/>
  <c r="J563" i="13" s="1"/>
  <c r="G1027" i="20"/>
  <c r="G1200" i="20"/>
  <c r="G491" i="20"/>
  <c r="G131" i="13"/>
  <c r="I314" i="20"/>
  <c r="G933" i="20"/>
  <c r="J562" i="13"/>
  <c r="H130" i="13"/>
  <c r="I130" i="13"/>
  <c r="J130" i="13" s="1"/>
  <c r="H315" i="20"/>
  <c r="I315" i="20" s="1"/>
  <c r="H1117" i="20"/>
  <c r="I1117" i="20" s="1"/>
  <c r="E846" i="20"/>
  <c r="F846" i="20"/>
  <c r="D847" i="20" s="1"/>
  <c r="F730" i="13"/>
  <c r="D731" i="13" s="1"/>
  <c r="E730" i="13"/>
  <c r="D1029" i="20" l="1"/>
  <c r="G1028" i="20"/>
  <c r="H1028" i="20"/>
  <c r="I1028" i="20" s="1"/>
  <c r="D1202" i="20"/>
  <c r="G1201" i="20"/>
  <c r="H1201" i="20"/>
  <c r="I1201" i="20" s="1"/>
  <c r="D1119" i="20"/>
  <c r="G1118" i="20"/>
  <c r="H1118" i="20"/>
  <c r="D818" i="13"/>
  <c r="G817" i="13"/>
  <c r="D385" i="13"/>
  <c r="G384" i="13"/>
  <c r="D643" i="13"/>
  <c r="G642" i="13"/>
  <c r="E731" i="13"/>
  <c r="F731" i="13" s="1"/>
  <c r="E847" i="20"/>
  <c r="F847" i="20"/>
  <c r="D848" i="20" s="1"/>
  <c r="E935" i="20"/>
  <c r="F935" i="20"/>
  <c r="D936" i="20" s="1"/>
  <c r="E317" i="20"/>
  <c r="F317" i="20"/>
  <c r="D318" i="20" s="1"/>
  <c r="H132" i="13"/>
  <c r="I132" i="13"/>
  <c r="J132" i="13" s="1"/>
  <c r="E1079" i="13"/>
  <c r="F1079" i="13" s="1"/>
  <c r="F905" i="13"/>
  <c r="D906" i="13" s="1"/>
  <c r="E905" i="13"/>
  <c r="H993" i="13"/>
  <c r="I993" i="13"/>
  <c r="J993" i="13" s="1"/>
  <c r="H492" i="20"/>
  <c r="I669" i="20"/>
  <c r="H564" i="13"/>
  <c r="I564" i="13"/>
  <c r="J564" i="13" s="1"/>
  <c r="I756" i="20"/>
  <c r="E994" i="13"/>
  <c r="F994" i="13"/>
  <c r="D995" i="13" s="1"/>
  <c r="G994" i="13"/>
  <c r="B199" i="2"/>
  <c r="B200" i="2" s="1"/>
  <c r="B201" i="2" s="1"/>
  <c r="B203" i="2" s="1"/>
  <c r="E136" i="20"/>
  <c r="F136" i="20"/>
  <c r="D137" i="20" s="1"/>
  <c r="E493" i="20"/>
  <c r="F493" i="20"/>
  <c r="D494" i="20" s="1"/>
  <c r="F305" i="13"/>
  <c r="D306" i="13" s="1"/>
  <c r="G305" i="13"/>
  <c r="E305" i="13"/>
  <c r="E474" i="13"/>
  <c r="F474" i="13"/>
  <c r="D475" i="13" s="1"/>
  <c r="G474" i="13"/>
  <c r="G730" i="13"/>
  <c r="H131" i="13"/>
  <c r="I131" i="13"/>
  <c r="J131" i="13" s="1"/>
  <c r="H214" i="13"/>
  <c r="I214" i="13"/>
  <c r="H846" i="20"/>
  <c r="H934" i="20"/>
  <c r="J729" i="13"/>
  <c r="H316" i="20"/>
  <c r="H816" i="13"/>
  <c r="I816" i="13"/>
  <c r="J816" i="13" s="1"/>
  <c r="I1027" i="20"/>
  <c r="H135" i="20"/>
  <c r="E133" i="13"/>
  <c r="F133" i="13"/>
  <c r="D134" i="13" s="1"/>
  <c r="G492" i="20"/>
  <c r="E670" i="20"/>
  <c r="F670" i="20" s="1"/>
  <c r="E215" i="13"/>
  <c r="F215" i="13" s="1"/>
  <c r="E565" i="13"/>
  <c r="F565" i="13"/>
  <c r="D566" i="13" s="1"/>
  <c r="E757" i="20"/>
  <c r="F757" i="20" s="1"/>
  <c r="I581" i="20"/>
  <c r="H1251" i="13"/>
  <c r="I1251" i="13"/>
  <c r="H1165" i="13"/>
  <c r="I1165" i="13"/>
  <c r="J1165" i="13" s="1"/>
  <c r="G846" i="20"/>
  <c r="J303" i="13"/>
  <c r="G934" i="20"/>
  <c r="E404" i="20"/>
  <c r="F404" i="20" s="1"/>
  <c r="E1166" i="13"/>
  <c r="F1166" i="13" s="1"/>
  <c r="G316" i="20"/>
  <c r="J1163" i="13"/>
  <c r="H641" i="13"/>
  <c r="I641" i="13"/>
  <c r="G135" i="20"/>
  <c r="H304" i="13"/>
  <c r="I304" i="13"/>
  <c r="H1078" i="13"/>
  <c r="I1078" i="13"/>
  <c r="J1078" i="13" s="1"/>
  <c r="H904" i="13"/>
  <c r="I904" i="13"/>
  <c r="E226" i="20"/>
  <c r="F226" i="20"/>
  <c r="D227" i="20" s="1"/>
  <c r="G226" i="20"/>
  <c r="H473" i="13"/>
  <c r="I473" i="13"/>
  <c r="J473" i="13" s="1"/>
  <c r="F582" i="20"/>
  <c r="D583" i="20" s="1"/>
  <c r="E582" i="20"/>
  <c r="E1252" i="13"/>
  <c r="F1252" i="13" s="1"/>
  <c r="D732" i="13" l="1"/>
  <c r="G731" i="13"/>
  <c r="D1167" i="13"/>
  <c r="G1166" i="13"/>
  <c r="D1253" i="13"/>
  <c r="G1252" i="13"/>
  <c r="D405" i="20"/>
  <c r="H404" i="20"/>
  <c r="I404" i="20" s="1"/>
  <c r="G404" i="20"/>
  <c r="D216" i="13"/>
  <c r="G215" i="13"/>
  <c r="D758" i="20"/>
  <c r="G757" i="20"/>
  <c r="H757" i="20"/>
  <c r="D671" i="20"/>
  <c r="H670" i="20"/>
  <c r="I670" i="20" s="1"/>
  <c r="G670" i="20"/>
  <c r="D1080" i="13"/>
  <c r="G1079" i="13"/>
  <c r="H305" i="13"/>
  <c r="I305" i="13"/>
  <c r="H994" i="13"/>
  <c r="I994" i="13"/>
  <c r="J994" i="13" s="1"/>
  <c r="F385" i="13"/>
  <c r="D386" i="13" s="1"/>
  <c r="E385" i="13"/>
  <c r="G133" i="13"/>
  <c r="I934" i="20"/>
  <c r="E475" i="13"/>
  <c r="F475" i="13" s="1"/>
  <c r="E306" i="13"/>
  <c r="F306" i="13" s="1"/>
  <c r="E995" i="13"/>
  <c r="F995" i="13" s="1"/>
  <c r="H642" i="13"/>
  <c r="I642" i="13"/>
  <c r="J642" i="13" s="1"/>
  <c r="H817" i="13"/>
  <c r="I817" i="13"/>
  <c r="E1119" i="20"/>
  <c r="F1119" i="20"/>
  <c r="D1120" i="20" s="1"/>
  <c r="H474" i="13"/>
  <c r="I474" i="13"/>
  <c r="J474" i="13" s="1"/>
  <c r="F137" i="20"/>
  <c r="D138" i="20" s="1"/>
  <c r="E137" i="20"/>
  <c r="H137" i="20"/>
  <c r="E318" i="20"/>
  <c r="F318" i="20" s="1"/>
  <c r="F848" i="20"/>
  <c r="D849" i="20" s="1"/>
  <c r="E848" i="20"/>
  <c r="H848" i="20"/>
  <c r="F1202" i="20"/>
  <c r="D1203" i="20" s="1"/>
  <c r="E1202" i="20"/>
  <c r="H1202" i="20"/>
  <c r="G582" i="20"/>
  <c r="J641" i="13"/>
  <c r="J1251" i="13"/>
  <c r="G565" i="13"/>
  <c r="I846" i="20"/>
  <c r="H493" i="20"/>
  <c r="H136" i="20"/>
  <c r="E203" i="2"/>
  <c r="H317" i="20"/>
  <c r="H935" i="20"/>
  <c r="H847" i="20"/>
  <c r="F643" i="13"/>
  <c r="D644" i="13" s="1"/>
  <c r="E643" i="13"/>
  <c r="E818" i="13"/>
  <c r="F818" i="13" s="1"/>
  <c r="E583" i="20"/>
  <c r="F583" i="20" s="1"/>
  <c r="E134" i="13"/>
  <c r="F134" i="13"/>
  <c r="D135" i="13" s="1"/>
  <c r="F494" i="20"/>
  <c r="D495" i="20" s="1"/>
  <c r="E494" i="20"/>
  <c r="H494" i="20"/>
  <c r="E906" i="13"/>
  <c r="F906" i="13" s="1"/>
  <c r="F936" i="20"/>
  <c r="D937" i="20" s="1"/>
  <c r="E936" i="20"/>
  <c r="H582" i="20"/>
  <c r="I582" i="20" s="1"/>
  <c r="F227" i="20"/>
  <c r="D228" i="20" s="1"/>
  <c r="E227" i="20"/>
  <c r="H227" i="20"/>
  <c r="E566" i="13"/>
  <c r="F566" i="13" s="1"/>
  <c r="H226" i="20"/>
  <c r="I226" i="20" s="1"/>
  <c r="J904" i="13"/>
  <c r="J304" i="13"/>
  <c r="I135" i="20"/>
  <c r="I316" i="20"/>
  <c r="J214" i="13"/>
  <c r="H730" i="13"/>
  <c r="I730" i="13"/>
  <c r="G493" i="20"/>
  <c r="G136" i="20"/>
  <c r="C50" i="13"/>
  <c r="B205" i="2"/>
  <c r="C50" i="20"/>
  <c r="E37" i="2"/>
  <c r="I492" i="20"/>
  <c r="G905" i="13"/>
  <c r="G317" i="20"/>
  <c r="G935" i="20"/>
  <c r="G847" i="20"/>
  <c r="H384" i="13"/>
  <c r="I384" i="13"/>
  <c r="J384" i="13" s="1"/>
  <c r="I1118" i="20"/>
  <c r="E1029" i="20"/>
  <c r="F1029" i="20" s="1"/>
  <c r="D584" i="20" l="1"/>
  <c r="G583" i="20"/>
  <c r="H583" i="20"/>
  <c r="I583" i="20" s="1"/>
  <c r="D567" i="13"/>
  <c r="G566" i="13"/>
  <c r="D819" i="13"/>
  <c r="G818" i="13"/>
  <c r="D996" i="13"/>
  <c r="G995" i="13"/>
  <c r="D476" i="13"/>
  <c r="G475" i="13"/>
  <c r="D1030" i="20"/>
  <c r="H1029" i="20"/>
  <c r="G1029" i="20"/>
  <c r="D319" i="20"/>
  <c r="G318" i="20"/>
  <c r="H318" i="20"/>
  <c r="D907" i="13"/>
  <c r="G906" i="13"/>
  <c r="D307" i="13"/>
  <c r="G306" i="13"/>
  <c r="E228" i="20"/>
  <c r="F228" i="20"/>
  <c r="D229" i="20" s="1"/>
  <c r="G228" i="20"/>
  <c r="E495" i="20"/>
  <c r="F495" i="20" s="1"/>
  <c r="G643" i="13"/>
  <c r="I317" i="20"/>
  <c r="F1203" i="20"/>
  <c r="D1204" i="20" s="1"/>
  <c r="E1203" i="20"/>
  <c r="E849" i="20"/>
  <c r="F849" i="20" s="1"/>
  <c r="F138" i="20"/>
  <c r="D139" i="20" s="1"/>
  <c r="E138" i="20"/>
  <c r="G1119" i="20"/>
  <c r="E386" i="13"/>
  <c r="F386" i="13" s="1"/>
  <c r="E758" i="20"/>
  <c r="F758" i="20" s="1"/>
  <c r="H1166" i="13"/>
  <c r="I1166" i="13"/>
  <c r="H565" i="13"/>
  <c r="I565" i="13"/>
  <c r="J565" i="13" s="1"/>
  <c r="I848" i="20"/>
  <c r="E1120" i="20"/>
  <c r="F1120" i="20" s="1"/>
  <c r="H133" i="13"/>
  <c r="I133" i="13"/>
  <c r="H1079" i="13"/>
  <c r="I1079" i="13"/>
  <c r="J1079" i="13" s="1"/>
  <c r="E671" i="20"/>
  <c r="F671" i="20" s="1"/>
  <c r="H215" i="13"/>
  <c r="I215" i="13"/>
  <c r="E405" i="20"/>
  <c r="F405" i="20"/>
  <c r="D406" i="20" s="1"/>
  <c r="E1167" i="13"/>
  <c r="F1167" i="13"/>
  <c r="D1168" i="13" s="1"/>
  <c r="C49" i="13"/>
  <c r="C49" i="20"/>
  <c r="B207" i="2"/>
  <c r="E198" i="2"/>
  <c r="J730" i="13"/>
  <c r="G227" i="20"/>
  <c r="H936" i="20"/>
  <c r="G494" i="20"/>
  <c r="I494" i="20" s="1"/>
  <c r="G134" i="13"/>
  <c r="I847" i="20"/>
  <c r="I136" i="20"/>
  <c r="G1202" i="20"/>
  <c r="I1202" i="20" s="1"/>
  <c r="G848" i="20"/>
  <c r="G137" i="20"/>
  <c r="G385" i="13"/>
  <c r="E1080" i="13"/>
  <c r="F1080" i="13" s="1"/>
  <c r="I757" i="20"/>
  <c r="E216" i="13"/>
  <c r="F216" i="13" s="1"/>
  <c r="H1252" i="13"/>
  <c r="I1252" i="13"/>
  <c r="H731" i="13"/>
  <c r="I731" i="13"/>
  <c r="J731" i="13" s="1"/>
  <c r="H905" i="13"/>
  <c r="I905" i="13"/>
  <c r="I227" i="20"/>
  <c r="E937" i="20"/>
  <c r="F937" i="20"/>
  <c r="D938" i="20" s="1"/>
  <c r="E135" i="13"/>
  <c r="F135" i="13" s="1"/>
  <c r="E644" i="13"/>
  <c r="F644" i="13"/>
  <c r="D645" i="13" s="1"/>
  <c r="I137" i="20"/>
  <c r="G936" i="20"/>
  <c r="I935" i="20"/>
  <c r="I493" i="20"/>
  <c r="H1119" i="20"/>
  <c r="J817" i="13"/>
  <c r="J305" i="13"/>
  <c r="E1253" i="13"/>
  <c r="F1253" i="13"/>
  <c r="D1254" i="13" s="1"/>
  <c r="G732" i="13"/>
  <c r="E732" i="13"/>
  <c r="F732" i="13"/>
  <c r="D733" i="13" s="1"/>
  <c r="D1081" i="13" l="1"/>
  <c r="G1080" i="13"/>
  <c r="D759" i="20"/>
  <c r="G758" i="20"/>
  <c r="H758" i="20"/>
  <c r="D217" i="13"/>
  <c r="G216" i="13"/>
  <c r="D672" i="20"/>
  <c r="H671" i="20"/>
  <c r="I671" i="20" s="1"/>
  <c r="G671" i="20"/>
  <c r="D387" i="13"/>
  <c r="G386" i="13"/>
  <c r="D850" i="20"/>
  <c r="G849" i="20"/>
  <c r="H849" i="20"/>
  <c r="I849" i="20" s="1"/>
  <c r="D136" i="13"/>
  <c r="G135" i="13"/>
  <c r="D1121" i="20"/>
  <c r="H1120" i="20"/>
  <c r="G1120" i="20"/>
  <c r="D496" i="20"/>
  <c r="H495" i="20"/>
  <c r="G495" i="20"/>
  <c r="E1254" i="13"/>
  <c r="F1254" i="13" s="1"/>
  <c r="E645" i="13"/>
  <c r="F645" i="13" s="1"/>
  <c r="I936" i="20"/>
  <c r="E1168" i="13"/>
  <c r="F1168" i="13" s="1"/>
  <c r="E307" i="13"/>
  <c r="F307" i="13"/>
  <c r="D308" i="13" s="1"/>
  <c r="E1030" i="20"/>
  <c r="F1030" i="20" s="1"/>
  <c r="E996" i="13"/>
  <c r="F996" i="13" s="1"/>
  <c r="E733" i="13"/>
  <c r="F733" i="13" s="1"/>
  <c r="I1119" i="20"/>
  <c r="H138" i="20"/>
  <c r="I138" i="20" s="1"/>
  <c r="H1203" i="20"/>
  <c r="E229" i="20"/>
  <c r="F229" i="20"/>
  <c r="D230" i="20" s="1"/>
  <c r="G229" i="20"/>
  <c r="H229" i="20"/>
  <c r="H906" i="13"/>
  <c r="I906" i="13"/>
  <c r="J906" i="13" s="1"/>
  <c r="E319" i="20"/>
  <c r="F319" i="20" s="1"/>
  <c r="H475" i="13"/>
  <c r="I475" i="13"/>
  <c r="H818" i="13"/>
  <c r="I818" i="13"/>
  <c r="J818" i="13" s="1"/>
  <c r="E938" i="20"/>
  <c r="F938" i="20" s="1"/>
  <c r="H385" i="13"/>
  <c r="I385" i="13"/>
  <c r="B209" i="2"/>
  <c r="D300" i="2"/>
  <c r="F406" i="20"/>
  <c r="D407" i="20" s="1"/>
  <c r="E406" i="20"/>
  <c r="G406" i="20"/>
  <c r="H406" i="20"/>
  <c r="I406" i="20" s="1"/>
  <c r="F139" i="20"/>
  <c r="D140" i="20" s="1"/>
  <c r="E139" i="20"/>
  <c r="G139" i="20"/>
  <c r="H139" i="20"/>
  <c r="I139" i="20" s="1"/>
  <c r="E1204" i="20"/>
  <c r="F1204" i="20" s="1"/>
  <c r="E567" i="13"/>
  <c r="F567" i="13"/>
  <c r="D568" i="13" s="1"/>
  <c r="G1253" i="13"/>
  <c r="H937" i="20"/>
  <c r="H134" i="13"/>
  <c r="I134" i="13"/>
  <c r="J134" i="13" s="1"/>
  <c r="H405" i="20"/>
  <c r="I405" i="20" s="1"/>
  <c r="J215" i="13"/>
  <c r="J133" i="13"/>
  <c r="G138" i="20"/>
  <c r="G1203" i="20"/>
  <c r="H643" i="13"/>
  <c r="I643" i="13"/>
  <c r="E907" i="13"/>
  <c r="F907" i="13"/>
  <c r="D908" i="13" s="1"/>
  <c r="E476" i="13"/>
  <c r="F476" i="13"/>
  <c r="D477" i="13" s="1"/>
  <c r="F819" i="13"/>
  <c r="D820" i="13" s="1"/>
  <c r="E819" i="13"/>
  <c r="H732" i="13"/>
  <c r="I732" i="13"/>
  <c r="G644" i="13"/>
  <c r="G937" i="20"/>
  <c r="J905" i="13"/>
  <c r="J1252" i="13"/>
  <c r="G1167" i="13"/>
  <c r="G405" i="20"/>
  <c r="J1166" i="13"/>
  <c r="H228" i="20"/>
  <c r="I228" i="20" s="1"/>
  <c r="H306" i="13"/>
  <c r="I306" i="13"/>
  <c r="J306" i="13" s="1"/>
  <c r="I318" i="20"/>
  <c r="I1029" i="20"/>
  <c r="H995" i="13"/>
  <c r="I995" i="13"/>
  <c r="J995" i="13" s="1"/>
  <c r="H566" i="13"/>
  <c r="I566" i="13"/>
  <c r="E584" i="20"/>
  <c r="F584" i="20" s="1"/>
  <c r="D1255" i="13" l="1"/>
  <c r="G1254" i="13"/>
  <c r="D939" i="20"/>
  <c r="G938" i="20"/>
  <c r="H938" i="20"/>
  <c r="D1169" i="13"/>
  <c r="G1168" i="13"/>
  <c r="D1205" i="20"/>
  <c r="G1204" i="20"/>
  <c r="H1204" i="20"/>
  <c r="I1204" i="20" s="1"/>
  <c r="D997" i="13"/>
  <c r="G996" i="13"/>
  <c r="D320" i="20"/>
  <c r="G319" i="20"/>
  <c r="H319" i="20"/>
  <c r="I319" i="20" s="1"/>
  <c r="D1031" i="20"/>
  <c r="G1030" i="20"/>
  <c r="H1030" i="20"/>
  <c r="I1030" i="20" s="1"/>
  <c r="D734" i="13"/>
  <c r="G733" i="13"/>
  <c r="D585" i="20"/>
  <c r="H584" i="20"/>
  <c r="G584" i="20"/>
  <c r="D646" i="13"/>
  <c r="G645" i="13"/>
  <c r="H386" i="13"/>
  <c r="I386" i="13"/>
  <c r="J386" i="13" s="1"/>
  <c r="E672" i="20"/>
  <c r="F672" i="20" s="1"/>
  <c r="G819" i="13"/>
  <c r="E230" i="20"/>
  <c r="F230" i="20" s="1"/>
  <c r="I1120" i="20"/>
  <c r="E387" i="13"/>
  <c r="F387" i="13"/>
  <c r="D388" i="13" s="1"/>
  <c r="H216" i="13"/>
  <c r="I216" i="13"/>
  <c r="J216" i="13" s="1"/>
  <c r="F759" i="20"/>
  <c r="D760" i="20" s="1"/>
  <c r="E759" i="20"/>
  <c r="F477" i="13"/>
  <c r="D478" i="13" s="1"/>
  <c r="E477" i="13"/>
  <c r="E908" i="13"/>
  <c r="F908" i="13" s="1"/>
  <c r="H1253" i="13"/>
  <c r="I1253" i="13"/>
  <c r="J1253" i="13" s="1"/>
  <c r="E308" i="13"/>
  <c r="F308" i="13" s="1"/>
  <c r="E136" i="13"/>
  <c r="F136" i="13" s="1"/>
  <c r="E568" i="13"/>
  <c r="F568" i="13"/>
  <c r="D569" i="13" s="1"/>
  <c r="H1167" i="13"/>
  <c r="I1167" i="13"/>
  <c r="H644" i="13"/>
  <c r="I644" i="13"/>
  <c r="J644" i="13" s="1"/>
  <c r="G476" i="13"/>
  <c r="J643" i="13"/>
  <c r="D211" i="2"/>
  <c r="B211" i="2"/>
  <c r="G307" i="13"/>
  <c r="I495" i="20"/>
  <c r="E1121" i="20"/>
  <c r="F1121" i="20" s="1"/>
  <c r="G217" i="13"/>
  <c r="F217" i="13"/>
  <c r="D218" i="13" s="1"/>
  <c r="E217" i="13"/>
  <c r="H1080" i="13"/>
  <c r="I1080" i="13"/>
  <c r="J1080" i="13" s="1"/>
  <c r="J566" i="13"/>
  <c r="J732" i="13"/>
  <c r="E820" i="13"/>
  <c r="F820" i="13" s="1"/>
  <c r="G907" i="13"/>
  <c r="I937" i="20"/>
  <c r="G567" i="13"/>
  <c r="E140" i="20"/>
  <c r="F140" i="20" s="1"/>
  <c r="E407" i="20"/>
  <c r="F407" i="20" s="1"/>
  <c r="J385" i="13"/>
  <c r="J475" i="13"/>
  <c r="I229" i="20"/>
  <c r="I1203" i="20"/>
  <c r="F496" i="20"/>
  <c r="D497" i="20" s="1"/>
  <c r="E496" i="20"/>
  <c r="H496" i="20"/>
  <c r="H135" i="13"/>
  <c r="I135" i="13"/>
  <c r="E850" i="20"/>
  <c r="F850" i="20"/>
  <c r="D851" i="20" s="1"/>
  <c r="G850" i="20"/>
  <c r="I758" i="20"/>
  <c r="F1081" i="13"/>
  <c r="D1082" i="13" s="1"/>
  <c r="E1081" i="13"/>
  <c r="D909" i="13" l="1"/>
  <c r="G908" i="13"/>
  <c r="D309" i="13"/>
  <c r="G308" i="13"/>
  <c r="D137" i="13"/>
  <c r="G136" i="13"/>
  <c r="D673" i="20"/>
  <c r="G672" i="20"/>
  <c r="H672" i="20"/>
  <c r="D408" i="20"/>
  <c r="G407" i="20"/>
  <c r="H407" i="20"/>
  <c r="I407" i="20" s="1"/>
  <c r="D231" i="20"/>
  <c r="G230" i="20"/>
  <c r="H230" i="20"/>
  <c r="I230" i="20" s="1"/>
  <c r="D141" i="20"/>
  <c r="G140" i="20"/>
  <c r="H140" i="20"/>
  <c r="I140" i="20" s="1"/>
  <c r="D821" i="13"/>
  <c r="G820" i="13"/>
  <c r="D1122" i="20"/>
  <c r="H1121" i="20"/>
  <c r="G1121" i="20"/>
  <c r="G1081" i="13"/>
  <c r="E851" i="20"/>
  <c r="F851" i="20" s="1"/>
  <c r="H850" i="20"/>
  <c r="I850" i="20" s="1"/>
  <c r="J135" i="13"/>
  <c r="H907" i="13"/>
  <c r="I907" i="13"/>
  <c r="J907" i="13" s="1"/>
  <c r="H307" i="13"/>
  <c r="I307" i="13"/>
  <c r="J307" i="13" s="1"/>
  <c r="H476" i="13"/>
  <c r="I476" i="13"/>
  <c r="J476" i="13" s="1"/>
  <c r="G477" i="13"/>
  <c r="G387" i="13"/>
  <c r="H819" i="13"/>
  <c r="I819" i="13"/>
  <c r="J819" i="13" s="1"/>
  <c r="E646" i="13"/>
  <c r="F646" i="13" s="1"/>
  <c r="H733" i="13"/>
  <c r="I733" i="13"/>
  <c r="E1031" i="20"/>
  <c r="F1031" i="20" s="1"/>
  <c r="H996" i="13"/>
  <c r="I996" i="13"/>
  <c r="J996" i="13" s="1"/>
  <c r="E1205" i="20"/>
  <c r="F1205" i="20" s="1"/>
  <c r="E497" i="20"/>
  <c r="F497" i="20" s="1"/>
  <c r="E218" i="13"/>
  <c r="F218" i="13" s="1"/>
  <c r="B213" i="2"/>
  <c r="D214" i="2"/>
  <c r="E569" i="13"/>
  <c r="F569" i="13"/>
  <c r="D570" i="13" s="1"/>
  <c r="F478" i="13"/>
  <c r="D479" i="13" s="1"/>
  <c r="E478" i="13"/>
  <c r="E760" i="20"/>
  <c r="F760" i="20"/>
  <c r="D761" i="20" s="1"/>
  <c r="E388" i="13"/>
  <c r="F388" i="13" s="1"/>
  <c r="E734" i="13"/>
  <c r="F734" i="13"/>
  <c r="D735" i="13" s="1"/>
  <c r="G734" i="13"/>
  <c r="E997" i="13"/>
  <c r="F997" i="13" s="1"/>
  <c r="H1168" i="13"/>
  <c r="I1168" i="13"/>
  <c r="E939" i="20"/>
  <c r="F939" i="20"/>
  <c r="D940" i="20" s="1"/>
  <c r="G939" i="20"/>
  <c r="H759" i="20"/>
  <c r="I584" i="20"/>
  <c r="G1169" i="13"/>
  <c r="E1169" i="13"/>
  <c r="F1169" i="13"/>
  <c r="D1170" i="13" s="1"/>
  <c r="H1254" i="13"/>
  <c r="I1254" i="13"/>
  <c r="J1254" i="13" s="1"/>
  <c r="E1082" i="13"/>
  <c r="F1082" i="13"/>
  <c r="D1083" i="13" s="1"/>
  <c r="G1082" i="13"/>
  <c r="I496" i="20"/>
  <c r="H567" i="13"/>
  <c r="I567" i="13"/>
  <c r="J567" i="13" s="1"/>
  <c r="H217" i="13"/>
  <c r="I217" i="13"/>
  <c r="J217" i="13" s="1"/>
  <c r="G496" i="20"/>
  <c r="J1167" i="13"/>
  <c r="G568" i="13"/>
  <c r="G759" i="20"/>
  <c r="H645" i="13"/>
  <c r="I645" i="13"/>
  <c r="J645" i="13" s="1"/>
  <c r="E585" i="20"/>
  <c r="F585" i="20" s="1"/>
  <c r="E320" i="20"/>
  <c r="F320" i="20"/>
  <c r="D321" i="20" s="1"/>
  <c r="I938" i="20"/>
  <c r="G1255" i="13"/>
  <c r="E1255" i="13"/>
  <c r="F1255" i="13"/>
  <c r="D1256" i="13" s="1"/>
  <c r="D389" i="13" l="1"/>
  <c r="G388" i="13"/>
  <c r="D1206" i="20"/>
  <c r="G1205" i="20"/>
  <c r="H1205" i="20"/>
  <c r="D586" i="20"/>
  <c r="G585" i="20"/>
  <c r="H585" i="20"/>
  <c r="I585" i="20" s="1"/>
  <c r="D219" i="13"/>
  <c r="G218" i="13"/>
  <c r="D647" i="13"/>
  <c r="G646" i="13"/>
  <c r="D998" i="13"/>
  <c r="G997" i="13"/>
  <c r="D498" i="20"/>
  <c r="G497" i="20"/>
  <c r="H497" i="20"/>
  <c r="D1032" i="20"/>
  <c r="H1031" i="20"/>
  <c r="G1031" i="20"/>
  <c r="D852" i="20"/>
  <c r="H851" i="20"/>
  <c r="G851" i="20"/>
  <c r="E321" i="20"/>
  <c r="F321" i="20" s="1"/>
  <c r="H1169" i="13"/>
  <c r="I1169" i="13"/>
  <c r="H734" i="13"/>
  <c r="I734" i="13"/>
  <c r="J734" i="13" s="1"/>
  <c r="F761" i="20"/>
  <c r="D762" i="20" s="1"/>
  <c r="E761" i="20"/>
  <c r="E735" i="13"/>
  <c r="F735" i="13" s="1"/>
  <c r="E570" i="13"/>
  <c r="F570" i="13"/>
  <c r="D571" i="13" s="1"/>
  <c r="E13" i="2"/>
  <c r="B226" i="2"/>
  <c r="F821" i="13"/>
  <c r="D822" i="13" s="1"/>
  <c r="E821" i="13"/>
  <c r="E673" i="20"/>
  <c r="F673" i="20"/>
  <c r="D674" i="20" s="1"/>
  <c r="E309" i="13"/>
  <c r="F309" i="13" s="1"/>
  <c r="H1255" i="13"/>
  <c r="I1255" i="13"/>
  <c r="J1255" i="13" s="1"/>
  <c r="F479" i="13"/>
  <c r="D480" i="13" s="1"/>
  <c r="E479" i="13"/>
  <c r="H1081" i="13"/>
  <c r="I1081" i="13"/>
  <c r="J1081" i="13" s="1"/>
  <c r="E141" i="20"/>
  <c r="F141" i="20" s="1"/>
  <c r="H308" i="13"/>
  <c r="I308" i="13"/>
  <c r="J308" i="13" s="1"/>
  <c r="H568" i="13"/>
  <c r="I568" i="13"/>
  <c r="J568" i="13" s="1"/>
  <c r="H1082" i="13"/>
  <c r="I1082" i="13"/>
  <c r="J1082" i="13" s="1"/>
  <c r="E940" i="20"/>
  <c r="F940" i="20"/>
  <c r="D941" i="20" s="1"/>
  <c r="F1256" i="13"/>
  <c r="D1257" i="13" s="1"/>
  <c r="G1256" i="13"/>
  <c r="E1256" i="13"/>
  <c r="H320" i="20"/>
  <c r="E1083" i="13"/>
  <c r="F1083" i="13"/>
  <c r="D1084" i="13" s="1"/>
  <c r="E1170" i="13"/>
  <c r="F1170" i="13" s="1"/>
  <c r="I759" i="20"/>
  <c r="H760" i="20"/>
  <c r="H387" i="13"/>
  <c r="I387" i="13"/>
  <c r="J387" i="13" s="1"/>
  <c r="I1121" i="20"/>
  <c r="E408" i="20"/>
  <c r="F408" i="20"/>
  <c r="D409" i="20" s="1"/>
  <c r="G408" i="20"/>
  <c r="H136" i="13"/>
  <c r="I136" i="13"/>
  <c r="J136" i="13" s="1"/>
  <c r="H908" i="13"/>
  <c r="I908" i="13"/>
  <c r="H820" i="13"/>
  <c r="I820" i="13"/>
  <c r="J820" i="13" s="1"/>
  <c r="G320" i="20"/>
  <c r="H939" i="20"/>
  <c r="I939" i="20" s="1"/>
  <c r="J1168" i="13"/>
  <c r="G760" i="20"/>
  <c r="G478" i="13"/>
  <c r="G569" i="13"/>
  <c r="J733" i="13"/>
  <c r="H477" i="13"/>
  <c r="I477" i="13"/>
  <c r="J477" i="13" s="1"/>
  <c r="E1122" i="20"/>
  <c r="F1122" i="20"/>
  <c r="D1123" i="20" s="1"/>
  <c r="G1122" i="20"/>
  <c r="H1122" i="20"/>
  <c r="I1122" i="20" s="1"/>
  <c r="E231" i="20"/>
  <c r="F231" i="20" s="1"/>
  <c r="I672" i="20"/>
  <c r="E137" i="13"/>
  <c r="F137" i="13"/>
  <c r="D138" i="13" s="1"/>
  <c r="E909" i="13"/>
  <c r="F909" i="13"/>
  <c r="D910" i="13" s="1"/>
  <c r="G909" i="13"/>
  <c r="D322" i="20" l="1"/>
  <c r="G321" i="20"/>
  <c r="H321" i="20"/>
  <c r="I321" i="20" s="1"/>
  <c r="D736" i="13"/>
  <c r="G735" i="13"/>
  <c r="D310" i="13"/>
  <c r="G309" i="13"/>
  <c r="D142" i="20"/>
  <c r="G141" i="20"/>
  <c r="H141" i="20"/>
  <c r="I141" i="20" s="1"/>
  <c r="D1171" i="13"/>
  <c r="G1170" i="13"/>
  <c r="D232" i="20"/>
  <c r="H231" i="20"/>
  <c r="G231" i="20"/>
  <c r="E571" i="13"/>
  <c r="F571" i="13" s="1"/>
  <c r="H646" i="13"/>
  <c r="I646" i="13"/>
  <c r="J646" i="13" s="1"/>
  <c r="E409" i="20"/>
  <c r="F409" i="20" s="1"/>
  <c r="E1257" i="13"/>
  <c r="F1257" i="13" s="1"/>
  <c r="E229" i="2"/>
  <c r="B227" i="2"/>
  <c r="B228" i="2" s="1"/>
  <c r="B229" i="2" s="1"/>
  <c r="H761" i="20"/>
  <c r="I1031" i="20"/>
  <c r="E498" i="20"/>
  <c r="F498" i="20" s="1"/>
  <c r="E647" i="13"/>
  <c r="F647" i="13" s="1"/>
  <c r="E1206" i="20"/>
  <c r="F1206" i="20"/>
  <c r="D1207" i="20" s="1"/>
  <c r="H478" i="13"/>
  <c r="I478" i="13"/>
  <c r="J478" i="13" s="1"/>
  <c r="E1084" i="13"/>
  <c r="F1084" i="13" s="1"/>
  <c r="E941" i="20"/>
  <c r="F941" i="20" s="1"/>
  <c r="E480" i="13"/>
  <c r="F480" i="13" s="1"/>
  <c r="E674" i="20"/>
  <c r="F674" i="20"/>
  <c r="D675" i="20" s="1"/>
  <c r="E762" i="20"/>
  <c r="F762" i="20" s="1"/>
  <c r="H909" i="13"/>
  <c r="I909" i="13"/>
  <c r="J909" i="13" s="1"/>
  <c r="E910" i="13"/>
  <c r="F910" i="13"/>
  <c r="D911" i="13" s="1"/>
  <c r="I760" i="20"/>
  <c r="I320" i="20"/>
  <c r="H940" i="20"/>
  <c r="H673" i="20"/>
  <c r="I673" i="20" s="1"/>
  <c r="G821" i="13"/>
  <c r="G761" i="20"/>
  <c r="I851" i="20"/>
  <c r="E1032" i="20"/>
  <c r="F1032" i="20" s="1"/>
  <c r="H997" i="13"/>
  <c r="I997" i="13"/>
  <c r="J997" i="13" s="1"/>
  <c r="H218" i="13"/>
  <c r="I218" i="13"/>
  <c r="J218" i="13" s="1"/>
  <c r="E586" i="20"/>
  <c r="F586" i="20"/>
  <c r="D587" i="20" s="1"/>
  <c r="H388" i="13"/>
  <c r="I388" i="13"/>
  <c r="J388" i="13" s="1"/>
  <c r="E138" i="13"/>
  <c r="F138" i="13"/>
  <c r="D139" i="13" s="1"/>
  <c r="H1256" i="13"/>
  <c r="I1256" i="13"/>
  <c r="E822" i="13"/>
  <c r="F822" i="13"/>
  <c r="D823" i="13" s="1"/>
  <c r="G137" i="13"/>
  <c r="E1123" i="20"/>
  <c r="F1123" i="20"/>
  <c r="D1124" i="20" s="1"/>
  <c r="G1123" i="20"/>
  <c r="H569" i="13"/>
  <c r="I569" i="13"/>
  <c r="J569" i="13" s="1"/>
  <c r="J908" i="13"/>
  <c r="H408" i="20"/>
  <c r="I408" i="20" s="1"/>
  <c r="G1083" i="13"/>
  <c r="G940" i="20"/>
  <c r="G479" i="13"/>
  <c r="G673" i="20"/>
  <c r="G570" i="13"/>
  <c r="J1169" i="13"/>
  <c r="F852" i="20"/>
  <c r="D853" i="20" s="1"/>
  <c r="E852" i="20"/>
  <c r="I497" i="20"/>
  <c r="E998" i="13"/>
  <c r="F998" i="13" s="1"/>
  <c r="F219" i="13"/>
  <c r="D220" i="13" s="1"/>
  <c r="E219" i="13"/>
  <c r="I1205" i="20"/>
  <c r="E389" i="13"/>
  <c r="F389" i="13" s="1"/>
  <c r="D1033" i="20" l="1"/>
  <c r="G1032" i="20"/>
  <c r="H1032" i="20"/>
  <c r="I1032" i="20" s="1"/>
  <c r="D572" i="13"/>
  <c r="G571" i="13"/>
  <c r="D1085" i="13"/>
  <c r="G1084" i="13"/>
  <c r="D390" i="13"/>
  <c r="G389" i="13"/>
  <c r="D763" i="20"/>
  <c r="G762" i="20"/>
  <c r="H762" i="20"/>
  <c r="I762" i="20" s="1"/>
  <c r="D1258" i="13"/>
  <c r="G1257" i="13"/>
  <c r="D410" i="20"/>
  <c r="G409" i="20"/>
  <c r="H409" i="20"/>
  <c r="D648" i="13"/>
  <c r="G647" i="13"/>
  <c r="D999" i="13"/>
  <c r="G998" i="13"/>
  <c r="D942" i="20"/>
  <c r="G941" i="20"/>
  <c r="H941" i="20"/>
  <c r="I941" i="20" s="1"/>
  <c r="D481" i="13"/>
  <c r="G480" i="13"/>
  <c r="D499" i="20"/>
  <c r="G498" i="20"/>
  <c r="H498" i="20"/>
  <c r="E853" i="20"/>
  <c r="F853" i="20"/>
  <c r="D854" i="20" s="1"/>
  <c r="G853" i="20"/>
  <c r="H1170" i="13"/>
  <c r="I1170" i="13"/>
  <c r="J1170" i="13" s="1"/>
  <c r="E139" i="13"/>
  <c r="F139" i="13" s="1"/>
  <c r="E911" i="13"/>
  <c r="F911" i="13" s="1"/>
  <c r="E1171" i="13"/>
  <c r="F1171" i="13" s="1"/>
  <c r="H309" i="13"/>
  <c r="I309" i="13"/>
  <c r="J309" i="13" s="1"/>
  <c r="E220" i="13"/>
  <c r="F220" i="13" s="1"/>
  <c r="H479" i="13"/>
  <c r="I479" i="13"/>
  <c r="J479" i="13" s="1"/>
  <c r="E587" i="20"/>
  <c r="F587" i="20" s="1"/>
  <c r="H821" i="13"/>
  <c r="I821" i="13"/>
  <c r="E675" i="20"/>
  <c r="F675" i="20"/>
  <c r="D676" i="20" s="1"/>
  <c r="G675" i="20"/>
  <c r="E1207" i="20"/>
  <c r="F1207" i="20"/>
  <c r="D1208" i="20" s="1"/>
  <c r="G1207" i="20"/>
  <c r="E736" i="13"/>
  <c r="F736" i="13" s="1"/>
  <c r="H852" i="20"/>
  <c r="E1124" i="20"/>
  <c r="F1124" i="20"/>
  <c r="D1125" i="20" s="1"/>
  <c r="G1124" i="20"/>
  <c r="G219" i="13"/>
  <c r="G852" i="20"/>
  <c r="H570" i="13"/>
  <c r="I570" i="13"/>
  <c r="H1083" i="13"/>
  <c r="I1083" i="13"/>
  <c r="J1083" i="13" s="1"/>
  <c r="G138" i="13"/>
  <c r="H586" i="20"/>
  <c r="I940" i="20"/>
  <c r="H674" i="20"/>
  <c r="H1206" i="20"/>
  <c r="I1206" i="20" s="1"/>
  <c r="I761" i="20"/>
  <c r="I231" i="20"/>
  <c r="E310" i="13"/>
  <c r="F310" i="13"/>
  <c r="D311" i="13" s="1"/>
  <c r="E823" i="13"/>
  <c r="F823" i="13"/>
  <c r="D824" i="13" s="1"/>
  <c r="E142" i="20"/>
  <c r="F142" i="20" s="1"/>
  <c r="G822" i="13"/>
  <c r="H1123" i="20"/>
  <c r="I1123" i="20" s="1"/>
  <c r="H137" i="13"/>
  <c r="I137" i="13"/>
  <c r="J137" i="13" s="1"/>
  <c r="J1256" i="13"/>
  <c r="G586" i="20"/>
  <c r="G910" i="13"/>
  <c r="G674" i="20"/>
  <c r="G1206" i="20"/>
  <c r="B231" i="2"/>
  <c r="B233" i="2" s="1"/>
  <c r="B234" i="2" s="1"/>
  <c r="E68" i="2"/>
  <c r="E231" i="2"/>
  <c r="E232" i="20"/>
  <c r="F232" i="20" s="1"/>
  <c r="H735" i="13"/>
  <c r="I735" i="13"/>
  <c r="J735" i="13" s="1"/>
  <c r="E322" i="20"/>
  <c r="F322" i="20" s="1"/>
  <c r="D912" i="13" l="1"/>
  <c r="G911" i="13"/>
  <c r="D140" i="13"/>
  <c r="G139" i="13"/>
  <c r="D221" i="13"/>
  <c r="G220" i="13"/>
  <c r="D588" i="20"/>
  <c r="G587" i="20"/>
  <c r="H587" i="20"/>
  <c r="D143" i="20"/>
  <c r="G142" i="20"/>
  <c r="H142" i="20"/>
  <c r="I142" i="20" s="1"/>
  <c r="D737" i="13"/>
  <c r="G736" i="13"/>
  <c r="D233" i="20"/>
  <c r="G232" i="20"/>
  <c r="H232" i="20"/>
  <c r="D323" i="20"/>
  <c r="G322" i="20"/>
  <c r="H322" i="20"/>
  <c r="I322" i="20" s="1"/>
  <c r="D1172" i="13"/>
  <c r="G1171" i="13"/>
  <c r="E311" i="13"/>
  <c r="F311" i="13"/>
  <c r="D312" i="13" s="1"/>
  <c r="E999" i="13"/>
  <c r="F999" i="13" s="1"/>
  <c r="E390" i="13"/>
  <c r="F390" i="13" s="1"/>
  <c r="E676" i="20"/>
  <c r="F676" i="20" s="1"/>
  <c r="F854" i="20"/>
  <c r="D855" i="20" s="1"/>
  <c r="E854" i="20"/>
  <c r="F499" i="20"/>
  <c r="D500" i="20" s="1"/>
  <c r="E499" i="20"/>
  <c r="H647" i="13"/>
  <c r="I647" i="13"/>
  <c r="E410" i="20"/>
  <c r="F410" i="20"/>
  <c r="D411" i="20" s="1"/>
  <c r="G410" i="20"/>
  <c r="H1084" i="13"/>
  <c r="I1084" i="13"/>
  <c r="J1084" i="13" s="1"/>
  <c r="E1208" i="20"/>
  <c r="F1208" i="20" s="1"/>
  <c r="B235" i="2"/>
  <c r="B236" i="2" s="1"/>
  <c r="B237" i="2" s="1"/>
  <c r="B238" i="2" s="1"/>
  <c r="B239" i="2" s="1"/>
  <c r="B241" i="2" s="1"/>
  <c r="B244" i="2" s="1"/>
  <c r="B245" i="2" s="1"/>
  <c r="G823" i="13"/>
  <c r="H219" i="13"/>
  <c r="I219" i="13"/>
  <c r="J219" i="13" s="1"/>
  <c r="H480" i="13"/>
  <c r="I480" i="13"/>
  <c r="E942" i="20"/>
  <c r="F942" i="20"/>
  <c r="D943" i="20" s="1"/>
  <c r="F648" i="13"/>
  <c r="D649" i="13" s="1"/>
  <c r="G648" i="13"/>
  <c r="E648" i="13"/>
  <c r="H1257" i="13"/>
  <c r="I1257" i="13"/>
  <c r="J1257" i="13" s="1"/>
  <c r="F763" i="20"/>
  <c r="D764" i="20" s="1"/>
  <c r="E763" i="20"/>
  <c r="F1085" i="13"/>
  <c r="D1086" i="13" s="1"/>
  <c r="E1085" i="13"/>
  <c r="E824" i="13"/>
  <c r="F824" i="13"/>
  <c r="D825" i="13" s="1"/>
  <c r="H138" i="13"/>
  <c r="I138" i="13"/>
  <c r="J138" i="13" s="1"/>
  <c r="E572" i="13"/>
  <c r="F572" i="13" s="1"/>
  <c r="H910" i="13"/>
  <c r="I910" i="13"/>
  <c r="J910" i="13" s="1"/>
  <c r="I674" i="20"/>
  <c r="E1125" i="20"/>
  <c r="F1125" i="20" s="1"/>
  <c r="H822" i="13"/>
  <c r="I822" i="13"/>
  <c r="J822" i="13" s="1"/>
  <c r="G310" i="13"/>
  <c r="I586" i="20"/>
  <c r="J570" i="13"/>
  <c r="H1124" i="20"/>
  <c r="I1124" i="20" s="1"/>
  <c r="I852" i="20"/>
  <c r="H1207" i="20"/>
  <c r="I1207" i="20" s="1"/>
  <c r="H675" i="20"/>
  <c r="I675" i="20" s="1"/>
  <c r="J821" i="13"/>
  <c r="H853" i="20"/>
  <c r="I853" i="20" s="1"/>
  <c r="I498" i="20"/>
  <c r="E481" i="13"/>
  <c r="F481" i="13" s="1"/>
  <c r="H998" i="13"/>
  <c r="I998" i="13"/>
  <c r="J998" i="13" s="1"/>
  <c r="I409" i="20"/>
  <c r="E1258" i="13"/>
  <c r="F1258" i="13" s="1"/>
  <c r="H389" i="13"/>
  <c r="I389" i="13"/>
  <c r="J389" i="13" s="1"/>
  <c r="H571" i="13"/>
  <c r="I571" i="13"/>
  <c r="J571" i="13" s="1"/>
  <c r="E1033" i="20"/>
  <c r="F1033" i="20"/>
  <c r="D1034" i="20" s="1"/>
  <c r="D1209" i="20" l="1"/>
  <c r="G1208" i="20"/>
  <c r="H1208" i="20"/>
  <c r="I1208" i="20" s="1"/>
  <c r="D677" i="20"/>
  <c r="G676" i="20"/>
  <c r="H676" i="20"/>
  <c r="I676" i="20" s="1"/>
  <c r="D1259" i="13"/>
  <c r="G1258" i="13"/>
  <c r="D482" i="13"/>
  <c r="G481" i="13"/>
  <c r="D391" i="13"/>
  <c r="G390" i="13"/>
  <c r="D1126" i="20"/>
  <c r="H1125" i="20"/>
  <c r="G1125" i="20"/>
  <c r="D573" i="13"/>
  <c r="G572" i="13"/>
  <c r="D1000" i="13"/>
  <c r="G999" i="13"/>
  <c r="B246" i="2"/>
  <c r="B247" i="2" s="1"/>
  <c r="B248" i="2" s="1"/>
  <c r="E500" i="20"/>
  <c r="F500" i="20" s="1"/>
  <c r="H763" i="20"/>
  <c r="E649" i="13"/>
  <c r="F649" i="13"/>
  <c r="D650" i="13" s="1"/>
  <c r="E411" i="20"/>
  <c r="F411" i="20"/>
  <c r="D412" i="20" s="1"/>
  <c r="G411" i="20"/>
  <c r="H499" i="20"/>
  <c r="H854" i="20"/>
  <c r="F233" i="20"/>
  <c r="D234" i="20" s="1"/>
  <c r="E233" i="20"/>
  <c r="E588" i="20"/>
  <c r="F588" i="20" s="1"/>
  <c r="E140" i="13"/>
  <c r="F140" i="13" s="1"/>
  <c r="E1034" i="20"/>
  <c r="F1034" i="20" s="1"/>
  <c r="H310" i="13"/>
  <c r="I310" i="13"/>
  <c r="J310" i="13" s="1"/>
  <c r="E825" i="13"/>
  <c r="F825" i="13"/>
  <c r="D826" i="13" s="1"/>
  <c r="E764" i="20"/>
  <c r="F764" i="20" s="1"/>
  <c r="E943" i="20"/>
  <c r="F943" i="20" s="1"/>
  <c r="F312" i="13"/>
  <c r="D313" i="13" s="1"/>
  <c r="E312" i="13"/>
  <c r="H139" i="13"/>
  <c r="I139" i="13"/>
  <c r="J139" i="13" s="1"/>
  <c r="H1033" i="20"/>
  <c r="G763" i="20"/>
  <c r="H942" i="20"/>
  <c r="J480" i="13"/>
  <c r="H823" i="13"/>
  <c r="I823" i="13"/>
  <c r="G499" i="20"/>
  <c r="G854" i="20"/>
  <c r="H1171" i="13"/>
  <c r="I1171" i="13"/>
  <c r="J1171" i="13" s="1"/>
  <c r="E323" i="20"/>
  <c r="F323" i="20"/>
  <c r="D324" i="20" s="1"/>
  <c r="H736" i="13"/>
  <c r="I736" i="13"/>
  <c r="J736" i="13" s="1"/>
  <c r="E143" i="20"/>
  <c r="F143" i="20" s="1"/>
  <c r="H220" i="13"/>
  <c r="I220" i="13"/>
  <c r="H911" i="13"/>
  <c r="I911" i="13"/>
  <c r="J911" i="13" s="1"/>
  <c r="E1086" i="13"/>
  <c r="F1086" i="13" s="1"/>
  <c r="H648" i="13"/>
  <c r="I648" i="13"/>
  <c r="E855" i="20"/>
  <c r="F855" i="20" s="1"/>
  <c r="G1033" i="20"/>
  <c r="G824" i="13"/>
  <c r="G1085" i="13"/>
  <c r="G942" i="20"/>
  <c r="E239" i="2"/>
  <c r="H410" i="20"/>
  <c r="I410" i="20" s="1"/>
  <c r="J647" i="13"/>
  <c r="G311" i="13"/>
  <c r="E1172" i="13"/>
  <c r="F1172" i="13"/>
  <c r="D1173" i="13" s="1"/>
  <c r="I232" i="20"/>
  <c r="F737" i="13"/>
  <c r="D738" i="13" s="1"/>
  <c r="E737" i="13"/>
  <c r="G737" i="13"/>
  <c r="I587" i="20"/>
  <c r="E221" i="13"/>
  <c r="F221" i="13" s="1"/>
  <c r="E912" i="13"/>
  <c r="F912" i="13" s="1"/>
  <c r="D944" i="20" l="1"/>
  <c r="G943" i="20"/>
  <c r="H943" i="20"/>
  <c r="I943" i="20" s="1"/>
  <c r="D913" i="13"/>
  <c r="G912" i="13"/>
  <c r="D589" i="20"/>
  <c r="G588" i="20"/>
  <c r="H588" i="20"/>
  <c r="I588" i="20" s="1"/>
  <c r="D856" i="20"/>
  <c r="H855" i="20"/>
  <c r="G855" i="20"/>
  <c r="D765" i="20"/>
  <c r="G764" i="20"/>
  <c r="H764" i="20"/>
  <c r="I764" i="20" s="1"/>
  <c r="D1035" i="20"/>
  <c r="G1034" i="20"/>
  <c r="H1034" i="20"/>
  <c r="D1087" i="13"/>
  <c r="G1086" i="13"/>
  <c r="D222" i="13"/>
  <c r="G221" i="13"/>
  <c r="D144" i="20"/>
  <c r="H143" i="20"/>
  <c r="G143" i="20"/>
  <c r="D141" i="13"/>
  <c r="G140" i="13"/>
  <c r="D501" i="20"/>
  <c r="H500" i="20"/>
  <c r="I500" i="20" s="1"/>
  <c r="G500" i="20"/>
  <c r="H737" i="13"/>
  <c r="I737" i="13"/>
  <c r="J737" i="13" s="1"/>
  <c r="H1085" i="13"/>
  <c r="I1085" i="13"/>
  <c r="E313" i="13"/>
  <c r="F313" i="13" s="1"/>
  <c r="E234" i="20"/>
  <c r="F234" i="20" s="1"/>
  <c r="E650" i="13"/>
  <c r="F650" i="13" s="1"/>
  <c r="G573" i="13"/>
  <c r="E573" i="13"/>
  <c r="F573" i="13"/>
  <c r="D574" i="13" s="1"/>
  <c r="H390" i="13"/>
  <c r="I390" i="13"/>
  <c r="J390" i="13" s="1"/>
  <c r="H1258" i="13"/>
  <c r="I1258" i="13"/>
  <c r="J1258" i="13" s="1"/>
  <c r="E677" i="20"/>
  <c r="F677" i="20"/>
  <c r="D678" i="20" s="1"/>
  <c r="H824" i="13"/>
  <c r="I824" i="13"/>
  <c r="J824" i="13" s="1"/>
  <c r="I942" i="20"/>
  <c r="E826" i="13"/>
  <c r="F826" i="13" s="1"/>
  <c r="H233" i="20"/>
  <c r="I854" i="20"/>
  <c r="E412" i="20"/>
  <c r="F412" i="20"/>
  <c r="D413" i="20" s="1"/>
  <c r="H999" i="13"/>
  <c r="I999" i="13"/>
  <c r="J999" i="13" s="1"/>
  <c r="E391" i="13"/>
  <c r="F391" i="13"/>
  <c r="D392" i="13" s="1"/>
  <c r="G1259" i="13"/>
  <c r="E1259" i="13"/>
  <c r="F1259" i="13"/>
  <c r="D1260" i="13" s="1"/>
  <c r="E324" i="20"/>
  <c r="F324" i="20"/>
  <c r="D325" i="20" s="1"/>
  <c r="F738" i="13"/>
  <c r="D739" i="13" s="1"/>
  <c r="E738" i="13"/>
  <c r="G1172" i="13"/>
  <c r="J220" i="13"/>
  <c r="H323" i="20"/>
  <c r="I323" i="20" s="1"/>
  <c r="J823" i="13"/>
  <c r="G825" i="13"/>
  <c r="G233" i="20"/>
  <c r="I499" i="20"/>
  <c r="I763" i="20"/>
  <c r="E1000" i="13"/>
  <c r="F1000" i="13" s="1"/>
  <c r="I1125" i="20"/>
  <c r="H481" i="13"/>
  <c r="I481" i="13"/>
  <c r="E1173" i="13"/>
  <c r="F1173" i="13" s="1"/>
  <c r="H311" i="13"/>
  <c r="I311" i="13"/>
  <c r="J311" i="13" s="1"/>
  <c r="J648" i="13"/>
  <c r="G323" i="20"/>
  <c r="I1033" i="20"/>
  <c r="G312" i="13"/>
  <c r="H411" i="20"/>
  <c r="I411" i="20" s="1"/>
  <c r="G649" i="13"/>
  <c r="B249" i="2"/>
  <c r="H572" i="13"/>
  <c r="I572" i="13"/>
  <c r="J572" i="13" s="1"/>
  <c r="E1126" i="20"/>
  <c r="F1126" i="20"/>
  <c r="D1127" i="20" s="1"/>
  <c r="F482" i="13"/>
  <c r="D483" i="13" s="1"/>
  <c r="G482" i="13"/>
  <c r="E482" i="13"/>
  <c r="E1209" i="20"/>
  <c r="F1209" i="20" s="1"/>
  <c r="D235" i="20" l="1"/>
  <c r="H234" i="20"/>
  <c r="G234" i="20"/>
  <c r="D1210" i="20"/>
  <c r="H1209" i="20"/>
  <c r="G1209" i="20"/>
  <c r="D314" i="13"/>
  <c r="G313" i="13"/>
  <c r="D651" i="13"/>
  <c r="G650" i="13"/>
  <c r="D1174" i="13"/>
  <c r="G1173" i="13"/>
  <c r="D1001" i="13"/>
  <c r="G1000" i="13"/>
  <c r="D827" i="13"/>
  <c r="G826" i="13"/>
  <c r="E1127" i="20"/>
  <c r="F1127" i="20"/>
  <c r="D1128" i="20" s="1"/>
  <c r="G1127" i="20"/>
  <c r="H312" i="13"/>
  <c r="I312" i="13"/>
  <c r="J312" i="13" s="1"/>
  <c r="H1259" i="13"/>
  <c r="I1259" i="13"/>
  <c r="E413" i="20"/>
  <c r="F413" i="20"/>
  <c r="D414" i="20" s="1"/>
  <c r="G413" i="20"/>
  <c r="H573" i="13"/>
  <c r="I573" i="13"/>
  <c r="J573" i="13" s="1"/>
  <c r="E222" i="13"/>
  <c r="F222" i="13" s="1"/>
  <c r="E765" i="20"/>
  <c r="F765" i="20"/>
  <c r="D766" i="20" s="1"/>
  <c r="E913" i="13"/>
  <c r="F913" i="13"/>
  <c r="D914" i="13" s="1"/>
  <c r="E483" i="13"/>
  <c r="F483" i="13"/>
  <c r="D484" i="13" s="1"/>
  <c r="J481" i="13"/>
  <c r="G738" i="13"/>
  <c r="G391" i="13"/>
  <c r="E501" i="20"/>
  <c r="F501" i="20" s="1"/>
  <c r="I143" i="20"/>
  <c r="H1086" i="13"/>
  <c r="I1086" i="13"/>
  <c r="E1035" i="20"/>
  <c r="F1035" i="20"/>
  <c r="D1036" i="20" s="1"/>
  <c r="E325" i="20"/>
  <c r="F325" i="20" s="1"/>
  <c r="H649" i="13"/>
  <c r="I649" i="13"/>
  <c r="J649" i="13" s="1"/>
  <c r="H825" i="13"/>
  <c r="I825" i="13"/>
  <c r="H1172" i="13"/>
  <c r="I1172" i="13"/>
  <c r="J1172" i="13" s="1"/>
  <c r="H324" i="20"/>
  <c r="E1260" i="13"/>
  <c r="F1260" i="13"/>
  <c r="D1261" i="13" s="1"/>
  <c r="E392" i="13"/>
  <c r="F392" i="13" s="1"/>
  <c r="H412" i="20"/>
  <c r="I412" i="20" s="1"/>
  <c r="H677" i="20"/>
  <c r="E574" i="13"/>
  <c r="F574" i="13"/>
  <c r="D575" i="13" s="1"/>
  <c r="H140" i="13"/>
  <c r="I140" i="13"/>
  <c r="E144" i="20"/>
  <c r="F144" i="20"/>
  <c r="D145" i="20" s="1"/>
  <c r="E1087" i="13"/>
  <c r="F1087" i="13"/>
  <c r="D1088" i="13" s="1"/>
  <c r="I855" i="20"/>
  <c r="E589" i="20"/>
  <c r="F589" i="20"/>
  <c r="D590" i="20" s="1"/>
  <c r="H482" i="13"/>
  <c r="I482" i="13"/>
  <c r="J482" i="13" s="1"/>
  <c r="D256" i="2"/>
  <c r="B250" i="2"/>
  <c r="B251" i="2" s="1"/>
  <c r="B252" i="2" s="1"/>
  <c r="E739" i="13"/>
  <c r="F739" i="13"/>
  <c r="D740" i="13" s="1"/>
  <c r="E678" i="20"/>
  <c r="F678" i="20" s="1"/>
  <c r="H1126" i="20"/>
  <c r="G1126" i="20"/>
  <c r="G324" i="20"/>
  <c r="G412" i="20"/>
  <c r="I233" i="20"/>
  <c r="G677" i="20"/>
  <c r="J1085" i="13"/>
  <c r="F141" i="13"/>
  <c r="D142" i="13" s="1"/>
  <c r="E141" i="13"/>
  <c r="H221" i="13"/>
  <c r="I221" i="13"/>
  <c r="I1034" i="20"/>
  <c r="E856" i="20"/>
  <c r="F856" i="20" s="1"/>
  <c r="H912" i="13"/>
  <c r="I912" i="13"/>
  <c r="J912" i="13" s="1"/>
  <c r="E944" i="20"/>
  <c r="F944" i="20" s="1"/>
  <c r="D857" i="20" l="1"/>
  <c r="G856" i="20"/>
  <c r="H856" i="20"/>
  <c r="I856" i="20" s="1"/>
  <c r="D945" i="20"/>
  <c r="H944" i="20"/>
  <c r="G944" i="20"/>
  <c r="D502" i="20"/>
  <c r="G501" i="20"/>
  <c r="H501" i="20"/>
  <c r="D679" i="20"/>
  <c r="H678" i="20"/>
  <c r="G678" i="20"/>
  <c r="D393" i="13"/>
  <c r="G392" i="13"/>
  <c r="D326" i="20"/>
  <c r="G325" i="20"/>
  <c r="H325" i="20"/>
  <c r="D223" i="13"/>
  <c r="G222" i="13"/>
  <c r="E575" i="13"/>
  <c r="F575" i="13" s="1"/>
  <c r="E1261" i="13"/>
  <c r="F1261" i="13" s="1"/>
  <c r="E1036" i="20"/>
  <c r="F1036" i="20" s="1"/>
  <c r="E914" i="13"/>
  <c r="F914" i="13"/>
  <c r="D915" i="13" s="1"/>
  <c r="E827" i="13"/>
  <c r="F827" i="13" s="1"/>
  <c r="F314" i="13"/>
  <c r="D315" i="13" s="1"/>
  <c r="E314" i="13"/>
  <c r="G141" i="13"/>
  <c r="G1260" i="13"/>
  <c r="H391" i="13"/>
  <c r="I391" i="13"/>
  <c r="G483" i="13"/>
  <c r="E414" i="20"/>
  <c r="F414" i="20" s="1"/>
  <c r="E1128" i="20"/>
  <c r="F1128" i="20" s="1"/>
  <c r="H1000" i="13"/>
  <c r="I1000" i="13"/>
  <c r="H650" i="13"/>
  <c r="I650" i="13"/>
  <c r="J650" i="13" s="1"/>
  <c r="E252" i="2"/>
  <c r="F740" i="13"/>
  <c r="D741" i="13" s="1"/>
  <c r="E740" i="13"/>
  <c r="E590" i="20"/>
  <c r="F590" i="20" s="1"/>
  <c r="E145" i="20"/>
  <c r="F145" i="20" s="1"/>
  <c r="F484" i="13"/>
  <c r="D485" i="13" s="1"/>
  <c r="E484" i="13"/>
  <c r="E766" i="20"/>
  <c r="F766" i="20"/>
  <c r="D767" i="20" s="1"/>
  <c r="E1174" i="13"/>
  <c r="F1174" i="13" s="1"/>
  <c r="E1210" i="20"/>
  <c r="F1210" i="20" s="1"/>
  <c r="I1126" i="20"/>
  <c r="B254" i="2"/>
  <c r="B255" i="2" s="1"/>
  <c r="D257" i="2"/>
  <c r="H589" i="20"/>
  <c r="I589" i="20" s="1"/>
  <c r="H144" i="20"/>
  <c r="J140" i="13"/>
  <c r="G574" i="13"/>
  <c r="J825" i="13"/>
  <c r="H1035" i="20"/>
  <c r="J1086" i="13"/>
  <c r="H738" i="13"/>
  <c r="I738" i="13"/>
  <c r="H765" i="20"/>
  <c r="E1001" i="13"/>
  <c r="G1001" i="13"/>
  <c r="F1001" i="13"/>
  <c r="D1002" i="13" s="1"/>
  <c r="E651" i="13"/>
  <c r="F651" i="13"/>
  <c r="D652" i="13" s="1"/>
  <c r="G651" i="13"/>
  <c r="I234" i="20"/>
  <c r="E1088" i="13"/>
  <c r="F1088" i="13"/>
  <c r="D1089" i="13" s="1"/>
  <c r="J221" i="13"/>
  <c r="E142" i="13"/>
  <c r="F142" i="13"/>
  <c r="D143" i="13" s="1"/>
  <c r="G142" i="13"/>
  <c r="G739" i="13"/>
  <c r="G589" i="20"/>
  <c r="G1087" i="13"/>
  <c r="G144" i="20"/>
  <c r="I677" i="20"/>
  <c r="I324" i="20"/>
  <c r="G1035" i="20"/>
  <c r="G913" i="13"/>
  <c r="G765" i="20"/>
  <c r="H413" i="20"/>
  <c r="I413" i="20" s="1"/>
  <c r="J1259" i="13"/>
  <c r="H1127" i="20"/>
  <c r="I1127" i="20" s="1"/>
  <c r="H826" i="13"/>
  <c r="I826" i="13"/>
  <c r="H1173" i="13"/>
  <c r="I1173" i="13"/>
  <c r="J1173" i="13" s="1"/>
  <c r="H313" i="13"/>
  <c r="I313" i="13"/>
  <c r="I1209" i="20"/>
  <c r="E235" i="20"/>
  <c r="F235" i="20" s="1"/>
  <c r="D236" i="20" l="1"/>
  <c r="G235" i="20"/>
  <c r="H235" i="20"/>
  <c r="I235" i="20" s="1"/>
  <c r="D146" i="20"/>
  <c r="G145" i="20"/>
  <c r="H145" i="20"/>
  <c r="I145" i="20" s="1"/>
  <c r="D576" i="13"/>
  <c r="G575" i="13"/>
  <c r="D591" i="20"/>
  <c r="G590" i="20"/>
  <c r="H590" i="20"/>
  <c r="I590" i="20" s="1"/>
  <c r="D1129" i="20"/>
  <c r="G1128" i="20"/>
  <c r="H1128" i="20"/>
  <c r="I1128" i="20" s="1"/>
  <c r="D1037" i="20"/>
  <c r="H1036" i="20"/>
  <c r="I1036" i="20" s="1"/>
  <c r="G1036" i="20"/>
  <c r="D1175" i="13"/>
  <c r="G1174" i="13"/>
  <c r="D1211" i="20"/>
  <c r="H1210" i="20"/>
  <c r="G1210" i="20"/>
  <c r="D415" i="20"/>
  <c r="G414" i="20"/>
  <c r="H414" i="20"/>
  <c r="D828" i="13"/>
  <c r="G827" i="13"/>
  <c r="D1262" i="13"/>
  <c r="G1261" i="13"/>
  <c r="H913" i="13"/>
  <c r="I913" i="13"/>
  <c r="J913" i="13" s="1"/>
  <c r="H142" i="13"/>
  <c r="I142" i="13"/>
  <c r="E1089" i="13"/>
  <c r="F1089" i="13"/>
  <c r="D1090" i="13" s="1"/>
  <c r="G1089" i="13"/>
  <c r="H651" i="13"/>
  <c r="I651" i="13"/>
  <c r="J651" i="13" s="1"/>
  <c r="H1001" i="13"/>
  <c r="I1001" i="13"/>
  <c r="J1001" i="13" s="1"/>
  <c r="H574" i="13"/>
  <c r="I574" i="13"/>
  <c r="J574" i="13" s="1"/>
  <c r="E767" i="20"/>
  <c r="F767" i="20"/>
  <c r="D768" i="20" s="1"/>
  <c r="E315" i="13"/>
  <c r="F315" i="13"/>
  <c r="D316" i="13" s="1"/>
  <c r="H1087" i="13"/>
  <c r="I1087" i="13"/>
  <c r="J1087" i="13" s="1"/>
  <c r="F143" i="13"/>
  <c r="D144" i="13" s="1"/>
  <c r="E143" i="13"/>
  <c r="E652" i="13"/>
  <c r="F652" i="13" s="1"/>
  <c r="D358" i="2"/>
  <c r="B256" i="2"/>
  <c r="B257" i="2" s="1"/>
  <c r="D258" i="2" s="1"/>
  <c r="H483" i="13"/>
  <c r="I483" i="13"/>
  <c r="J483" i="13" s="1"/>
  <c r="H141" i="13"/>
  <c r="I141" i="13"/>
  <c r="J141" i="13" s="1"/>
  <c r="G914" i="13"/>
  <c r="H222" i="13"/>
  <c r="I222" i="13"/>
  <c r="J222" i="13" s="1"/>
  <c r="E326" i="20"/>
  <c r="F326" i="20" s="1"/>
  <c r="I678" i="20"/>
  <c r="E502" i="20"/>
  <c r="F502" i="20" s="1"/>
  <c r="H1260" i="13"/>
  <c r="I1260" i="13"/>
  <c r="J1260" i="13" s="1"/>
  <c r="E915" i="13"/>
  <c r="F915" i="13" s="1"/>
  <c r="E945" i="20"/>
  <c r="F945" i="20"/>
  <c r="D946" i="20" s="1"/>
  <c r="G945" i="20"/>
  <c r="J313" i="13"/>
  <c r="J826" i="13"/>
  <c r="G1088" i="13"/>
  <c r="I765" i="20"/>
  <c r="I1035" i="20"/>
  <c r="I144" i="20"/>
  <c r="H766" i="20"/>
  <c r="I766" i="20" s="1"/>
  <c r="G740" i="13"/>
  <c r="J391" i="13"/>
  <c r="E223" i="13"/>
  <c r="F223" i="13"/>
  <c r="D224" i="13" s="1"/>
  <c r="H392" i="13"/>
  <c r="I392" i="13"/>
  <c r="J392" i="13" s="1"/>
  <c r="F679" i="20"/>
  <c r="D680" i="20" s="1"/>
  <c r="E679" i="20"/>
  <c r="F485" i="13"/>
  <c r="D486" i="13" s="1"/>
  <c r="E485" i="13"/>
  <c r="H739" i="13"/>
  <c r="I739" i="13"/>
  <c r="J739" i="13" s="1"/>
  <c r="E1002" i="13"/>
  <c r="F1002" i="13"/>
  <c r="D1003" i="13" s="1"/>
  <c r="G1002" i="13"/>
  <c r="J738" i="13"/>
  <c r="G766" i="20"/>
  <c r="G484" i="13"/>
  <c r="E741" i="13"/>
  <c r="F741" i="13"/>
  <c r="D742" i="13" s="1"/>
  <c r="J1000" i="13"/>
  <c r="G314" i="13"/>
  <c r="I325" i="20"/>
  <c r="E393" i="13"/>
  <c r="F393" i="13" s="1"/>
  <c r="I501" i="20"/>
  <c r="I944" i="20"/>
  <c r="E857" i="20"/>
  <c r="F857" i="20"/>
  <c r="D858" i="20" s="1"/>
  <c r="G857" i="20"/>
  <c r="D327" i="20" l="1"/>
  <c r="G326" i="20"/>
  <c r="H326" i="20"/>
  <c r="I326" i="20" s="1"/>
  <c r="D653" i="13"/>
  <c r="G652" i="13"/>
  <c r="D394" i="13"/>
  <c r="G393" i="13"/>
  <c r="D503" i="20"/>
  <c r="H502" i="20"/>
  <c r="G502" i="20"/>
  <c r="D916" i="13"/>
  <c r="G915" i="13"/>
  <c r="E316" i="13"/>
  <c r="F316" i="13" s="1"/>
  <c r="H1089" i="13"/>
  <c r="I1089" i="13"/>
  <c r="E1129" i="20"/>
  <c r="F1129" i="20"/>
  <c r="D1130" i="20" s="1"/>
  <c r="G1129" i="20"/>
  <c r="H679" i="20"/>
  <c r="E1090" i="13"/>
  <c r="F1090" i="13" s="1"/>
  <c r="H827" i="13"/>
  <c r="I827" i="13"/>
  <c r="J827" i="13" s="1"/>
  <c r="E415" i="20"/>
  <c r="F415" i="20" s="1"/>
  <c r="H1174" i="13"/>
  <c r="I1174" i="13"/>
  <c r="E1037" i="20"/>
  <c r="F1037" i="20"/>
  <c r="D1038" i="20" s="1"/>
  <c r="G1037" i="20"/>
  <c r="E576" i="13"/>
  <c r="F576" i="13"/>
  <c r="D577" i="13" s="1"/>
  <c r="E486" i="13"/>
  <c r="F486" i="13"/>
  <c r="D487" i="13" s="1"/>
  <c r="E224" i="13"/>
  <c r="F224" i="13" s="1"/>
  <c r="H1088" i="13"/>
  <c r="I1088" i="13"/>
  <c r="J1088" i="13" s="1"/>
  <c r="B258" i="2"/>
  <c r="C16" i="20"/>
  <c r="C16" i="13"/>
  <c r="F768" i="20"/>
  <c r="D769" i="20" s="1"/>
  <c r="E768" i="20"/>
  <c r="F1211" i="20"/>
  <c r="D1212" i="20" s="1"/>
  <c r="E1211" i="20"/>
  <c r="F146" i="20"/>
  <c r="D147" i="20" s="1"/>
  <c r="E146" i="20"/>
  <c r="H314" i="13"/>
  <c r="I314" i="13"/>
  <c r="E946" i="20"/>
  <c r="F946" i="20" s="1"/>
  <c r="E1003" i="13"/>
  <c r="F1003" i="13" s="1"/>
  <c r="G679" i="20"/>
  <c r="C19" i="13"/>
  <c r="H767" i="20"/>
  <c r="F828" i="13"/>
  <c r="D829" i="13" s="1"/>
  <c r="E828" i="13"/>
  <c r="E1175" i="13"/>
  <c r="F1175" i="13" s="1"/>
  <c r="E742" i="13"/>
  <c r="F742" i="13" s="1"/>
  <c r="E680" i="20"/>
  <c r="F680" i="20" s="1"/>
  <c r="D349" i="2"/>
  <c r="E144" i="13"/>
  <c r="F144" i="13" s="1"/>
  <c r="E1262" i="13"/>
  <c r="F1262" i="13" s="1"/>
  <c r="H575" i="13"/>
  <c r="I575" i="13"/>
  <c r="E858" i="20"/>
  <c r="F858" i="20" s="1"/>
  <c r="H1002" i="13"/>
  <c r="I1002" i="13"/>
  <c r="H484" i="13"/>
  <c r="I484" i="13"/>
  <c r="G485" i="13"/>
  <c r="H857" i="20"/>
  <c r="I857" i="20" s="1"/>
  <c r="G741" i="13"/>
  <c r="G223" i="13"/>
  <c r="H740" i="13"/>
  <c r="I740" i="13"/>
  <c r="H945" i="20"/>
  <c r="I945" i="20" s="1"/>
  <c r="H914" i="13"/>
  <c r="I914" i="13"/>
  <c r="C19" i="20"/>
  <c r="G143" i="13"/>
  <c r="G315" i="13"/>
  <c r="G767" i="20"/>
  <c r="J142" i="13"/>
  <c r="H1261" i="13"/>
  <c r="I1261" i="13"/>
  <c r="I414" i="20"/>
  <c r="I1210" i="20"/>
  <c r="E591" i="20"/>
  <c r="F591" i="20" s="1"/>
  <c r="E236" i="20"/>
  <c r="F236" i="20" s="1"/>
  <c r="D1004" i="13" l="1"/>
  <c r="G1003" i="13"/>
  <c r="D1091" i="13"/>
  <c r="G1090" i="13"/>
  <c r="D1263" i="13"/>
  <c r="G1262" i="13"/>
  <c r="D743" i="13"/>
  <c r="G742" i="13"/>
  <c r="D947" i="20"/>
  <c r="H946" i="20"/>
  <c r="G946" i="20"/>
  <c r="D416" i="20"/>
  <c r="G415" i="20"/>
  <c r="H415" i="20"/>
  <c r="I415" i="20" s="1"/>
  <c r="D145" i="13"/>
  <c r="G144" i="13"/>
  <c r="D681" i="20"/>
  <c r="G680" i="20"/>
  <c r="H680" i="20"/>
  <c r="I680" i="20" s="1"/>
  <c r="D237" i="20"/>
  <c r="G236" i="20"/>
  <c r="H236" i="20"/>
  <c r="I236" i="20" s="1"/>
  <c r="D859" i="20"/>
  <c r="H858" i="20"/>
  <c r="I858" i="20" s="1"/>
  <c r="G858" i="20"/>
  <c r="D1176" i="13"/>
  <c r="G1175" i="13"/>
  <c r="D592" i="20"/>
  <c r="G591" i="20"/>
  <c r="H591" i="20"/>
  <c r="I591" i="20" s="1"/>
  <c r="D225" i="13"/>
  <c r="G224" i="13"/>
  <c r="D317" i="13"/>
  <c r="G316" i="13"/>
  <c r="E829" i="13"/>
  <c r="F829" i="13" s="1"/>
  <c r="E147" i="20"/>
  <c r="F147" i="20"/>
  <c r="D148" i="20" s="1"/>
  <c r="G147" i="20"/>
  <c r="E1212" i="20"/>
  <c r="F1212" i="20" s="1"/>
  <c r="E769" i="20"/>
  <c r="F769" i="20" s="1"/>
  <c r="E577" i="13"/>
  <c r="F577" i="13"/>
  <c r="D578" i="13" s="1"/>
  <c r="H915" i="13"/>
  <c r="I915" i="13"/>
  <c r="J915" i="13" s="1"/>
  <c r="E503" i="20"/>
  <c r="F503" i="20"/>
  <c r="D504" i="20" s="1"/>
  <c r="E653" i="13"/>
  <c r="F653" i="13" s="1"/>
  <c r="J740" i="13"/>
  <c r="J1002" i="13"/>
  <c r="I767" i="20"/>
  <c r="H146" i="20"/>
  <c r="H1211" i="20"/>
  <c r="H768" i="20"/>
  <c r="E487" i="13"/>
  <c r="F487" i="13" s="1"/>
  <c r="E1038" i="20"/>
  <c r="F1038" i="20"/>
  <c r="D1039" i="20" s="1"/>
  <c r="E1130" i="20"/>
  <c r="F1130" i="20" s="1"/>
  <c r="E916" i="13"/>
  <c r="F916" i="13" s="1"/>
  <c r="H393" i="13"/>
  <c r="I393" i="13"/>
  <c r="J393" i="13" s="1"/>
  <c r="H143" i="13"/>
  <c r="I143" i="13"/>
  <c r="J914" i="13"/>
  <c r="H485" i="13"/>
  <c r="I485" i="13"/>
  <c r="J485" i="13" s="1"/>
  <c r="G828" i="13"/>
  <c r="G146" i="20"/>
  <c r="G1211" i="20"/>
  <c r="G768" i="20"/>
  <c r="G486" i="13"/>
  <c r="G576" i="13"/>
  <c r="I679" i="20"/>
  <c r="E394" i="13"/>
  <c r="F394" i="13" s="1"/>
  <c r="H741" i="13"/>
  <c r="I741" i="13"/>
  <c r="J741" i="13" s="1"/>
  <c r="J1261" i="13"/>
  <c r="H315" i="13"/>
  <c r="I315" i="13"/>
  <c r="J315" i="13" s="1"/>
  <c r="H223" i="13"/>
  <c r="I223" i="13"/>
  <c r="J484" i="13"/>
  <c r="J575" i="13"/>
  <c r="J314" i="13"/>
  <c r="B260" i="2"/>
  <c r="B77" i="41"/>
  <c r="E205" i="2"/>
  <c r="D191" i="2"/>
  <c r="H1037" i="20"/>
  <c r="I1037" i="20" s="1"/>
  <c r="J1174" i="13"/>
  <c r="H1129" i="20"/>
  <c r="I1129" i="20" s="1"/>
  <c r="J1089" i="13"/>
  <c r="I502" i="20"/>
  <c r="H652" i="13"/>
  <c r="I652" i="13"/>
  <c r="J652" i="13" s="1"/>
  <c r="F327" i="20"/>
  <c r="D328" i="20" s="1"/>
  <c r="E327" i="20"/>
  <c r="D654" i="13" l="1"/>
  <c r="G653" i="13"/>
  <c r="D830" i="13"/>
  <c r="G829" i="13"/>
  <c r="D770" i="20"/>
  <c r="H769" i="20"/>
  <c r="G769" i="20"/>
  <c r="D1213" i="20"/>
  <c r="H1212" i="20"/>
  <c r="G1212" i="20"/>
  <c r="D917" i="13"/>
  <c r="G916" i="13"/>
  <c r="D488" i="13"/>
  <c r="G487" i="13"/>
  <c r="D395" i="13"/>
  <c r="G394" i="13"/>
  <c r="D1131" i="20"/>
  <c r="G1130" i="20"/>
  <c r="H1130" i="20"/>
  <c r="I1130" i="20" s="1"/>
  <c r="E578" i="13"/>
  <c r="F578" i="13" s="1"/>
  <c r="E592" i="20"/>
  <c r="F592" i="20"/>
  <c r="D593" i="20" s="1"/>
  <c r="E237" i="20"/>
  <c r="F237" i="20"/>
  <c r="D238" i="20" s="1"/>
  <c r="H144" i="13"/>
  <c r="I144" i="13"/>
  <c r="J144" i="13" s="1"/>
  <c r="E416" i="20"/>
  <c r="F416" i="20"/>
  <c r="D417" i="20" s="1"/>
  <c r="G416" i="20"/>
  <c r="H416" i="20"/>
  <c r="I416" i="20" s="1"/>
  <c r="H742" i="13"/>
  <c r="I742" i="13"/>
  <c r="J742" i="13" s="1"/>
  <c r="H1090" i="13"/>
  <c r="I1090" i="13"/>
  <c r="J1090" i="13" s="1"/>
  <c r="E1039" i="20"/>
  <c r="F1039" i="20"/>
  <c r="D1040" i="20" s="1"/>
  <c r="G1039" i="20"/>
  <c r="H1039" i="20"/>
  <c r="I1039" i="20" s="1"/>
  <c r="E504" i="20"/>
  <c r="F504" i="20"/>
  <c r="D505" i="20" s="1"/>
  <c r="G504" i="20"/>
  <c r="H504" i="20"/>
  <c r="I504" i="20" s="1"/>
  <c r="H224" i="13"/>
  <c r="I224" i="13"/>
  <c r="J224" i="13" s="1"/>
  <c r="I768" i="20"/>
  <c r="E148" i="20"/>
  <c r="F148" i="20" s="1"/>
  <c r="E225" i="13"/>
  <c r="F225" i="13" s="1"/>
  <c r="H1175" i="13"/>
  <c r="I1175" i="13"/>
  <c r="J1175" i="13" s="1"/>
  <c r="E859" i="20"/>
  <c r="F859" i="20"/>
  <c r="D860" i="20" s="1"/>
  <c r="G859" i="20"/>
  <c r="H859" i="20"/>
  <c r="I859" i="20" s="1"/>
  <c r="E145" i="13"/>
  <c r="F145" i="13" s="1"/>
  <c r="E743" i="13"/>
  <c r="F743" i="13" s="1"/>
  <c r="E1091" i="13"/>
  <c r="F1091" i="13" s="1"/>
  <c r="H327" i="20"/>
  <c r="H576" i="13"/>
  <c r="I576" i="13"/>
  <c r="J576" i="13" s="1"/>
  <c r="H1038" i="20"/>
  <c r="I1211" i="20"/>
  <c r="H503" i="20"/>
  <c r="G577" i="13"/>
  <c r="H316" i="13"/>
  <c r="I316" i="13"/>
  <c r="J316" i="13" s="1"/>
  <c r="E1176" i="13"/>
  <c r="F1176" i="13" s="1"/>
  <c r="I946" i="20"/>
  <c r="H1262" i="13"/>
  <c r="I1262" i="13"/>
  <c r="J1262" i="13" s="1"/>
  <c r="H1003" i="13"/>
  <c r="I1003" i="13"/>
  <c r="J1003" i="13" s="1"/>
  <c r="E328" i="20"/>
  <c r="F328" i="20"/>
  <c r="D329" i="20" s="1"/>
  <c r="G327" i="20"/>
  <c r="J223" i="13"/>
  <c r="H486" i="13"/>
  <c r="I486" i="13"/>
  <c r="J486" i="13" s="1"/>
  <c r="H828" i="13"/>
  <c r="I828" i="13"/>
  <c r="J828" i="13" s="1"/>
  <c r="J143" i="13"/>
  <c r="G1038" i="20"/>
  <c r="I146" i="20"/>
  <c r="G503" i="20"/>
  <c r="H147" i="20"/>
  <c r="I147" i="20" s="1"/>
  <c r="E317" i="13"/>
  <c r="F317" i="13"/>
  <c r="D318" i="13" s="1"/>
  <c r="G317" i="13"/>
  <c r="E681" i="20"/>
  <c r="F681" i="20"/>
  <c r="D682" i="20" s="1"/>
  <c r="G681" i="20"/>
  <c r="H681" i="20"/>
  <c r="I681" i="20" s="1"/>
  <c r="E947" i="20"/>
  <c r="F947" i="20"/>
  <c r="D948" i="20" s="1"/>
  <c r="G947" i="20"/>
  <c r="H947" i="20"/>
  <c r="I947" i="20" s="1"/>
  <c r="E1263" i="13"/>
  <c r="F1263" i="13"/>
  <c r="D1264" i="13" s="1"/>
  <c r="E1004" i="13"/>
  <c r="F1004" i="13" s="1"/>
  <c r="D226" i="13" l="1"/>
  <c r="G225" i="13"/>
  <c r="D579" i="13"/>
  <c r="G578" i="13"/>
  <c r="D1177" i="13"/>
  <c r="G1176" i="13"/>
  <c r="D149" i="20"/>
  <c r="G148" i="20"/>
  <c r="H148" i="20"/>
  <c r="D1092" i="13"/>
  <c r="G1091" i="13"/>
  <c r="D744" i="13"/>
  <c r="G743" i="13"/>
  <c r="D1005" i="13"/>
  <c r="G1004" i="13"/>
  <c r="D146" i="13"/>
  <c r="G145" i="13"/>
  <c r="H577" i="13"/>
  <c r="I577" i="13"/>
  <c r="J577" i="13" s="1"/>
  <c r="E238" i="20"/>
  <c r="F238" i="20" s="1"/>
  <c r="E593" i="20"/>
  <c r="F593" i="20" s="1"/>
  <c r="H394" i="13"/>
  <c r="I394" i="13"/>
  <c r="H916" i="13"/>
  <c r="I916" i="13"/>
  <c r="J916" i="13" s="1"/>
  <c r="E1213" i="20"/>
  <c r="F1213" i="20" s="1"/>
  <c r="H829" i="13"/>
  <c r="I829" i="13"/>
  <c r="H317" i="13"/>
  <c r="I317" i="13"/>
  <c r="J317" i="13" s="1"/>
  <c r="I503" i="20"/>
  <c r="E395" i="13"/>
  <c r="F395" i="13" s="1"/>
  <c r="F917" i="13"/>
  <c r="D918" i="13" s="1"/>
  <c r="E917" i="13"/>
  <c r="E830" i="13"/>
  <c r="F830" i="13" s="1"/>
  <c r="E329" i="20"/>
  <c r="F329" i="20" s="1"/>
  <c r="E1264" i="13"/>
  <c r="F1264" i="13" s="1"/>
  <c r="E682" i="20"/>
  <c r="F682" i="20" s="1"/>
  <c r="H328" i="20"/>
  <c r="I327" i="20"/>
  <c r="E860" i="20"/>
  <c r="F860" i="20"/>
  <c r="D861" i="20" s="1"/>
  <c r="E505" i="20"/>
  <c r="F505" i="20"/>
  <c r="D506" i="20" s="1"/>
  <c r="E1040" i="20"/>
  <c r="F1040" i="20"/>
  <c r="D1041" i="20" s="1"/>
  <c r="E417" i="20"/>
  <c r="F417" i="20"/>
  <c r="D418" i="20" s="1"/>
  <c r="H237" i="20"/>
  <c r="H592" i="20"/>
  <c r="I592" i="20" s="1"/>
  <c r="H487" i="13"/>
  <c r="I487" i="13"/>
  <c r="I769" i="20"/>
  <c r="H653" i="13"/>
  <c r="I653" i="13"/>
  <c r="E318" i="13"/>
  <c r="F318" i="13"/>
  <c r="D319" i="13" s="1"/>
  <c r="E948" i="20"/>
  <c r="F948" i="20" s="1"/>
  <c r="G1263" i="13"/>
  <c r="G328" i="20"/>
  <c r="I1038" i="20"/>
  <c r="G237" i="20"/>
  <c r="G592" i="20"/>
  <c r="E1131" i="20"/>
  <c r="F1131" i="20"/>
  <c r="D1132" i="20" s="1"/>
  <c r="G1131" i="20"/>
  <c r="E488" i="13"/>
  <c r="F488" i="13"/>
  <c r="D489" i="13" s="1"/>
  <c r="G488" i="13"/>
  <c r="I1212" i="20"/>
  <c r="E770" i="20"/>
  <c r="F770" i="20"/>
  <c r="D771" i="20" s="1"/>
  <c r="G770" i="20"/>
  <c r="E654" i="13"/>
  <c r="F654" i="13"/>
  <c r="D655" i="13" s="1"/>
  <c r="G654" i="13"/>
  <c r="D396" i="13" l="1"/>
  <c r="G395" i="13"/>
  <c r="D330" i="20"/>
  <c r="H329" i="20"/>
  <c r="I329" i="20" s="1"/>
  <c r="G329" i="20"/>
  <c r="D949" i="20"/>
  <c r="G948" i="20"/>
  <c r="H948" i="20"/>
  <c r="I948" i="20" s="1"/>
  <c r="D683" i="20"/>
  <c r="H682" i="20"/>
  <c r="G682" i="20"/>
  <c r="D1214" i="20"/>
  <c r="G1213" i="20"/>
  <c r="H1213" i="20"/>
  <c r="I1213" i="20" s="1"/>
  <c r="D239" i="20"/>
  <c r="G238" i="20"/>
  <c r="H238" i="20"/>
  <c r="D831" i="13"/>
  <c r="G830" i="13"/>
  <c r="D1265" i="13"/>
  <c r="G1264" i="13"/>
  <c r="D594" i="20"/>
  <c r="G593" i="20"/>
  <c r="H593" i="20"/>
  <c r="I593" i="20" s="1"/>
  <c r="H488" i="13"/>
  <c r="I488" i="13"/>
  <c r="J488" i="13" s="1"/>
  <c r="E319" i="13"/>
  <c r="F319" i="13" s="1"/>
  <c r="E418" i="20"/>
  <c r="F418" i="20" s="1"/>
  <c r="E861" i="20"/>
  <c r="F861" i="20"/>
  <c r="D862" i="20" s="1"/>
  <c r="G861" i="20"/>
  <c r="E918" i="13"/>
  <c r="F918" i="13" s="1"/>
  <c r="E744" i="13"/>
  <c r="F744" i="13" s="1"/>
  <c r="E771" i="20"/>
  <c r="F771" i="20" s="1"/>
  <c r="G318" i="13"/>
  <c r="H1004" i="13"/>
  <c r="I1004" i="13"/>
  <c r="J1004" i="13" s="1"/>
  <c r="H1091" i="13"/>
  <c r="I1091" i="13"/>
  <c r="J1091" i="13" s="1"/>
  <c r="E149" i="20"/>
  <c r="F149" i="20"/>
  <c r="D150" i="20" s="1"/>
  <c r="G149" i="20"/>
  <c r="H149" i="20"/>
  <c r="I149" i="20" s="1"/>
  <c r="E579" i="13"/>
  <c r="F579" i="13"/>
  <c r="D580" i="13" s="1"/>
  <c r="G579" i="13"/>
  <c r="H654" i="13"/>
  <c r="I654" i="13"/>
  <c r="E1041" i="20"/>
  <c r="F1041" i="20" s="1"/>
  <c r="E146" i="13"/>
  <c r="F146" i="13" s="1"/>
  <c r="H578" i="13"/>
  <c r="I578" i="13"/>
  <c r="J578" i="13" s="1"/>
  <c r="E489" i="13"/>
  <c r="F489" i="13" s="1"/>
  <c r="I237" i="20"/>
  <c r="J487" i="13"/>
  <c r="H417" i="20"/>
  <c r="I417" i="20" s="1"/>
  <c r="H1040" i="20"/>
  <c r="H505" i="20"/>
  <c r="H860" i="20"/>
  <c r="I860" i="20" s="1"/>
  <c r="G917" i="13"/>
  <c r="E1005" i="13"/>
  <c r="F1005" i="13"/>
  <c r="D1006" i="13" s="1"/>
  <c r="G1005" i="13"/>
  <c r="E1092" i="13"/>
  <c r="F1092" i="13" s="1"/>
  <c r="H1176" i="13"/>
  <c r="I1176" i="13"/>
  <c r="J1176" i="13" s="1"/>
  <c r="H225" i="13"/>
  <c r="I225" i="13"/>
  <c r="J225" i="13" s="1"/>
  <c r="E506" i="20"/>
  <c r="F506" i="20"/>
  <c r="D507" i="20" s="1"/>
  <c r="F655" i="13"/>
  <c r="D656" i="13" s="1"/>
  <c r="G655" i="13"/>
  <c r="E655" i="13"/>
  <c r="E1132" i="20"/>
  <c r="F1132" i="20" s="1"/>
  <c r="H770" i="20"/>
  <c r="I770" i="20" s="1"/>
  <c r="H1131" i="20"/>
  <c r="I1131" i="20" s="1"/>
  <c r="H1263" i="13"/>
  <c r="I1263" i="13"/>
  <c r="J653" i="13"/>
  <c r="G417" i="20"/>
  <c r="G1040" i="20"/>
  <c r="G505" i="20"/>
  <c r="G860" i="20"/>
  <c r="I328" i="20"/>
  <c r="J829" i="13"/>
  <c r="J394" i="13"/>
  <c r="H145" i="13"/>
  <c r="I145" i="13"/>
  <c r="J145" i="13" s="1"/>
  <c r="H743" i="13"/>
  <c r="I743" i="13"/>
  <c r="I148" i="20"/>
  <c r="E1177" i="13"/>
  <c r="F1177" i="13" s="1"/>
  <c r="E226" i="13"/>
  <c r="F226" i="13"/>
  <c r="D227" i="13" s="1"/>
  <c r="D1178" i="13" l="1"/>
  <c r="G1177" i="13"/>
  <c r="D919" i="13"/>
  <c r="G918" i="13"/>
  <c r="D320" i="13"/>
  <c r="G319" i="13"/>
  <c r="D419" i="20"/>
  <c r="H418" i="20"/>
  <c r="I418" i="20" s="1"/>
  <c r="G418" i="20"/>
  <c r="D1133" i="20"/>
  <c r="H1132" i="20"/>
  <c r="G1132" i="20"/>
  <c r="D147" i="13"/>
  <c r="G146" i="13"/>
  <c r="D772" i="20"/>
  <c r="G771" i="20"/>
  <c r="H771" i="20"/>
  <c r="D1093" i="13"/>
  <c r="G1092" i="13"/>
  <c r="D490" i="13"/>
  <c r="G489" i="13"/>
  <c r="D1042" i="20"/>
  <c r="H1041" i="20"/>
  <c r="G1041" i="20"/>
  <c r="D745" i="13"/>
  <c r="G744" i="13"/>
  <c r="H655" i="13"/>
  <c r="I655" i="13"/>
  <c r="J655" i="13" s="1"/>
  <c r="H917" i="13"/>
  <c r="I917" i="13"/>
  <c r="J917" i="13" s="1"/>
  <c r="E1214" i="20"/>
  <c r="F1214" i="20"/>
  <c r="D1215" i="20" s="1"/>
  <c r="G226" i="13"/>
  <c r="H1005" i="13"/>
  <c r="I1005" i="13"/>
  <c r="H579" i="13"/>
  <c r="I579" i="13"/>
  <c r="E862" i="20"/>
  <c r="F862" i="20" s="1"/>
  <c r="H830" i="13"/>
  <c r="I830" i="13"/>
  <c r="E239" i="20"/>
  <c r="F239" i="20" s="1"/>
  <c r="E330" i="20"/>
  <c r="F330" i="20" s="1"/>
  <c r="F507" i="20"/>
  <c r="D508" i="20" s="1"/>
  <c r="E507" i="20"/>
  <c r="G507" i="20"/>
  <c r="H506" i="20"/>
  <c r="I506" i="20" s="1"/>
  <c r="E1006" i="13"/>
  <c r="F1006" i="13" s="1"/>
  <c r="I505" i="20"/>
  <c r="E580" i="13"/>
  <c r="F580" i="13" s="1"/>
  <c r="E150" i="20"/>
  <c r="F150" i="20" s="1"/>
  <c r="E594" i="20"/>
  <c r="F594" i="20" s="1"/>
  <c r="E831" i="13"/>
  <c r="F831" i="13" s="1"/>
  <c r="I682" i="20"/>
  <c r="F949" i="20"/>
  <c r="D950" i="20" s="1"/>
  <c r="E949" i="20"/>
  <c r="G949" i="20"/>
  <c r="H395" i="13"/>
  <c r="I395" i="13"/>
  <c r="E227" i="13"/>
  <c r="F227" i="13" s="1"/>
  <c r="H318" i="13"/>
  <c r="I318" i="13"/>
  <c r="J318" i="13" s="1"/>
  <c r="E1265" i="13"/>
  <c r="F1265" i="13"/>
  <c r="D1266" i="13" s="1"/>
  <c r="E656" i="13"/>
  <c r="F656" i="13" s="1"/>
  <c r="J743" i="13"/>
  <c r="J1263" i="13"/>
  <c r="G506" i="20"/>
  <c r="I1040" i="20"/>
  <c r="J654" i="13"/>
  <c r="H861" i="20"/>
  <c r="I861" i="20" s="1"/>
  <c r="H1264" i="13"/>
  <c r="I1264" i="13"/>
  <c r="J1264" i="13" s="1"/>
  <c r="I238" i="20"/>
  <c r="E683" i="20"/>
  <c r="F683" i="20" s="1"/>
  <c r="E396" i="13"/>
  <c r="F396" i="13" s="1"/>
  <c r="D832" i="13" l="1"/>
  <c r="G831" i="13"/>
  <c r="D1007" i="13"/>
  <c r="G1006" i="13"/>
  <c r="D657" i="13"/>
  <c r="G656" i="13"/>
  <c r="D397" i="13"/>
  <c r="G396" i="13"/>
  <c r="D595" i="20"/>
  <c r="H594" i="20"/>
  <c r="G594" i="20"/>
  <c r="D151" i="20"/>
  <c r="H150" i="20"/>
  <c r="G150" i="20"/>
  <c r="D863" i="20"/>
  <c r="G862" i="20"/>
  <c r="H862" i="20"/>
  <c r="D228" i="13"/>
  <c r="G227" i="13"/>
  <c r="D684" i="20"/>
  <c r="G683" i="20"/>
  <c r="H683" i="20"/>
  <c r="I683" i="20" s="1"/>
  <c r="D331" i="20"/>
  <c r="H330" i="20"/>
  <c r="I330" i="20" s="1"/>
  <c r="G330" i="20"/>
  <c r="D581" i="13"/>
  <c r="G580" i="13"/>
  <c r="D240" i="20"/>
  <c r="H239" i="20"/>
  <c r="G239" i="20"/>
  <c r="E1215" i="20"/>
  <c r="F1215" i="20"/>
  <c r="D1216" i="20" s="1"/>
  <c r="E490" i="13"/>
  <c r="F490" i="13" s="1"/>
  <c r="H918" i="13"/>
  <c r="I918" i="13"/>
  <c r="J918" i="13" s="1"/>
  <c r="G1265" i="13"/>
  <c r="J395" i="13"/>
  <c r="J579" i="13"/>
  <c r="H226" i="13"/>
  <c r="I226" i="13"/>
  <c r="J226" i="13" s="1"/>
  <c r="I1041" i="20"/>
  <c r="H1092" i="13"/>
  <c r="I1092" i="13"/>
  <c r="J1092" i="13" s="1"/>
  <c r="F772" i="20"/>
  <c r="D773" i="20" s="1"/>
  <c r="E772" i="20"/>
  <c r="I1132" i="20"/>
  <c r="E419" i="20"/>
  <c r="F419" i="20" s="1"/>
  <c r="E919" i="13"/>
  <c r="F919" i="13"/>
  <c r="D920" i="13" s="1"/>
  <c r="F508" i="20"/>
  <c r="D509" i="20" s="1"/>
  <c r="E508" i="20"/>
  <c r="H1214" i="20"/>
  <c r="I1214" i="20" s="1"/>
  <c r="H744" i="13"/>
  <c r="I744" i="13"/>
  <c r="E1042" i="20"/>
  <c r="F1042" i="20"/>
  <c r="D1043" i="20" s="1"/>
  <c r="F1093" i="13"/>
  <c r="D1094" i="13" s="1"/>
  <c r="G1093" i="13"/>
  <c r="E1093" i="13"/>
  <c r="H146" i="13"/>
  <c r="I146" i="13"/>
  <c r="J146" i="13" s="1"/>
  <c r="E1133" i="20"/>
  <c r="F1133" i="20" s="1"/>
  <c r="H319" i="13"/>
  <c r="I319" i="13"/>
  <c r="H1177" i="13"/>
  <c r="I1177" i="13"/>
  <c r="J1177" i="13" s="1"/>
  <c r="E1266" i="13"/>
  <c r="F1266" i="13" s="1"/>
  <c r="E950" i="20"/>
  <c r="F950" i="20"/>
  <c r="D951" i="20" s="1"/>
  <c r="H949" i="20"/>
  <c r="I949" i="20" s="1"/>
  <c r="H507" i="20"/>
  <c r="I507" i="20" s="1"/>
  <c r="J830" i="13"/>
  <c r="J1005" i="13"/>
  <c r="G1214" i="20"/>
  <c r="E745" i="13"/>
  <c r="F745" i="13" s="1"/>
  <c r="H489" i="13"/>
  <c r="I489" i="13"/>
  <c r="J489" i="13" s="1"/>
  <c r="I771" i="20"/>
  <c r="E147" i="13"/>
  <c r="F147" i="13"/>
  <c r="D148" i="13" s="1"/>
  <c r="E320" i="13"/>
  <c r="F320" i="13" s="1"/>
  <c r="E1178" i="13"/>
  <c r="F1178" i="13" s="1"/>
  <c r="D420" i="20" l="1"/>
  <c r="H419" i="20"/>
  <c r="G419" i="20"/>
  <c r="D746" i="13"/>
  <c r="G745" i="13"/>
  <c r="D1267" i="13"/>
  <c r="G1266" i="13"/>
  <c r="D1179" i="13"/>
  <c r="G1178" i="13"/>
  <c r="D1134" i="20"/>
  <c r="G1133" i="20"/>
  <c r="H1133" i="20"/>
  <c r="I1133" i="20" s="1"/>
  <c r="D321" i="13"/>
  <c r="G320" i="13"/>
  <c r="D491" i="13"/>
  <c r="G490" i="13"/>
  <c r="E148" i="13"/>
  <c r="F148" i="13" s="1"/>
  <c r="E951" i="20"/>
  <c r="F951" i="20" s="1"/>
  <c r="F151" i="20"/>
  <c r="D152" i="20" s="1"/>
  <c r="E151" i="20"/>
  <c r="H508" i="20"/>
  <c r="I508" i="20" s="1"/>
  <c r="E920" i="13"/>
  <c r="F920" i="13"/>
  <c r="D921" i="13" s="1"/>
  <c r="H772" i="20"/>
  <c r="I772" i="20" s="1"/>
  <c r="H580" i="13"/>
  <c r="I580" i="13"/>
  <c r="J580" i="13" s="1"/>
  <c r="E331" i="20"/>
  <c r="F331" i="20"/>
  <c r="D332" i="20" s="1"/>
  <c r="H227" i="13"/>
  <c r="I227" i="13"/>
  <c r="J227" i="13" s="1"/>
  <c r="E863" i="20"/>
  <c r="F863" i="20" s="1"/>
  <c r="E397" i="13"/>
  <c r="F397" i="13"/>
  <c r="D398" i="13" s="1"/>
  <c r="G1007" i="13"/>
  <c r="E1007" i="13"/>
  <c r="F1007" i="13"/>
  <c r="D1008" i="13" s="1"/>
  <c r="H1093" i="13"/>
  <c r="I1093" i="13"/>
  <c r="J1093" i="13" s="1"/>
  <c r="E509" i="20"/>
  <c r="F509" i="20"/>
  <c r="D510" i="20" s="1"/>
  <c r="G509" i="20"/>
  <c r="H509" i="20"/>
  <c r="I509" i="20" s="1"/>
  <c r="E1216" i="20"/>
  <c r="F1216" i="20" s="1"/>
  <c r="H396" i="13"/>
  <c r="I396" i="13"/>
  <c r="J396" i="13" s="1"/>
  <c r="G147" i="13"/>
  <c r="H950" i="20"/>
  <c r="I950" i="20" s="1"/>
  <c r="H1042" i="20"/>
  <c r="J744" i="13"/>
  <c r="G508" i="20"/>
  <c r="G919" i="13"/>
  <c r="G772" i="20"/>
  <c r="H1215" i="20"/>
  <c r="E581" i="13"/>
  <c r="F581" i="13" s="1"/>
  <c r="E228" i="13"/>
  <c r="F228" i="13"/>
  <c r="D229" i="13" s="1"/>
  <c r="G228" i="13"/>
  <c r="I594" i="20"/>
  <c r="H656" i="13"/>
  <c r="I656" i="13"/>
  <c r="J656" i="13" s="1"/>
  <c r="H831" i="13"/>
  <c r="I831" i="13"/>
  <c r="E1043" i="20"/>
  <c r="F1043" i="20" s="1"/>
  <c r="E773" i="20"/>
  <c r="F773" i="20"/>
  <c r="D774" i="20" s="1"/>
  <c r="G773" i="20"/>
  <c r="H1265" i="13"/>
  <c r="I1265" i="13"/>
  <c r="J1265" i="13" s="1"/>
  <c r="F240" i="20"/>
  <c r="D241" i="20" s="1"/>
  <c r="E240" i="20"/>
  <c r="F684" i="20"/>
  <c r="D685" i="20" s="1"/>
  <c r="E684" i="20"/>
  <c r="H1006" i="13"/>
  <c r="I1006" i="13"/>
  <c r="E1094" i="13"/>
  <c r="F1094" i="13" s="1"/>
  <c r="G950" i="20"/>
  <c r="J319" i="13"/>
  <c r="G1042" i="20"/>
  <c r="G1215" i="20"/>
  <c r="I239" i="20"/>
  <c r="I862" i="20"/>
  <c r="I150" i="20"/>
  <c r="E595" i="20"/>
  <c r="F595" i="20" s="1"/>
  <c r="E657" i="13"/>
  <c r="F657" i="13" s="1"/>
  <c r="E832" i="13"/>
  <c r="F832" i="13" s="1"/>
  <c r="D596" i="20" l="1"/>
  <c r="G595" i="20"/>
  <c r="H595" i="20"/>
  <c r="I595" i="20" s="1"/>
  <c r="D1044" i="20"/>
  <c r="H1043" i="20"/>
  <c r="G1043" i="20"/>
  <c r="D864" i="20"/>
  <c r="H863" i="20"/>
  <c r="I863" i="20" s="1"/>
  <c r="G863" i="20"/>
  <c r="D658" i="13"/>
  <c r="G657" i="13"/>
  <c r="D1095" i="13"/>
  <c r="G1094" i="13"/>
  <c r="D1217" i="20"/>
  <c r="H1216" i="20"/>
  <c r="G1216" i="20"/>
  <c r="D582" i="13"/>
  <c r="G581" i="13"/>
  <c r="D952" i="20"/>
  <c r="G951" i="20"/>
  <c r="H951" i="20"/>
  <c r="D833" i="13"/>
  <c r="G832" i="13"/>
  <c r="D149" i="13"/>
  <c r="G148" i="13"/>
  <c r="E685" i="20"/>
  <c r="F685" i="20"/>
  <c r="D686" i="20" s="1"/>
  <c r="G685" i="20"/>
  <c r="E332" i="20"/>
  <c r="F332" i="20" s="1"/>
  <c r="E774" i="20"/>
  <c r="F774" i="20" s="1"/>
  <c r="E229" i="13"/>
  <c r="F229" i="13"/>
  <c r="D230" i="13" s="1"/>
  <c r="G229" i="13"/>
  <c r="H147" i="13"/>
  <c r="I147" i="13"/>
  <c r="J147" i="13" s="1"/>
  <c r="F398" i="13"/>
  <c r="D399" i="13" s="1"/>
  <c r="G398" i="13"/>
  <c r="E398" i="13"/>
  <c r="E921" i="13"/>
  <c r="F921" i="13"/>
  <c r="D922" i="13" s="1"/>
  <c r="H151" i="20"/>
  <c r="E491" i="13"/>
  <c r="F491" i="13"/>
  <c r="D492" i="13" s="1"/>
  <c r="G491" i="13"/>
  <c r="H1266" i="13"/>
  <c r="I1266" i="13"/>
  <c r="J1266" i="13" s="1"/>
  <c r="E241" i="20"/>
  <c r="F241" i="20" s="1"/>
  <c r="H228" i="13"/>
  <c r="I228" i="13"/>
  <c r="J228" i="13" s="1"/>
  <c r="H919" i="13"/>
  <c r="I919" i="13"/>
  <c r="J919" i="13" s="1"/>
  <c r="H1007" i="13"/>
  <c r="I1007" i="13"/>
  <c r="J1007" i="13" s="1"/>
  <c r="E152" i="20"/>
  <c r="F152" i="20" s="1"/>
  <c r="H490" i="13"/>
  <c r="I490" i="13"/>
  <c r="J490" i="13" s="1"/>
  <c r="F1179" i="13"/>
  <c r="D1180" i="13" s="1"/>
  <c r="G1179" i="13"/>
  <c r="E1179" i="13"/>
  <c r="H684" i="20"/>
  <c r="H240" i="20"/>
  <c r="I240" i="20" s="1"/>
  <c r="G684" i="20"/>
  <c r="G240" i="20"/>
  <c r="I1215" i="20"/>
  <c r="E510" i="20"/>
  <c r="F510" i="20"/>
  <c r="D511" i="20" s="1"/>
  <c r="F1008" i="13"/>
  <c r="D1009" i="13" s="1"/>
  <c r="G1008" i="13"/>
  <c r="E1008" i="13"/>
  <c r="H331" i="20"/>
  <c r="G151" i="20"/>
  <c r="H320" i="13"/>
  <c r="I320" i="13"/>
  <c r="E1134" i="20"/>
  <c r="F1134" i="20"/>
  <c r="D1135" i="20" s="1"/>
  <c r="G1134" i="20"/>
  <c r="E1267" i="13"/>
  <c r="F1267" i="13" s="1"/>
  <c r="I419" i="20"/>
  <c r="E746" i="13"/>
  <c r="F746" i="13"/>
  <c r="D747" i="13" s="1"/>
  <c r="G746" i="13"/>
  <c r="J1006" i="13"/>
  <c r="H773" i="20"/>
  <c r="I773" i="20" s="1"/>
  <c r="J831" i="13"/>
  <c r="I1042" i="20"/>
  <c r="G397" i="13"/>
  <c r="G331" i="20"/>
  <c r="G920" i="13"/>
  <c r="G321" i="13"/>
  <c r="E321" i="13"/>
  <c r="F321" i="13"/>
  <c r="D322" i="13" s="1"/>
  <c r="H1178" i="13"/>
  <c r="I1178" i="13"/>
  <c r="J1178" i="13" s="1"/>
  <c r="H745" i="13"/>
  <c r="I745" i="13"/>
  <c r="J745" i="13" s="1"/>
  <c r="E420" i="20"/>
  <c r="F420" i="20"/>
  <c r="D421" i="20" s="1"/>
  <c r="D242" i="20" l="1"/>
  <c r="G241" i="20"/>
  <c r="H241" i="20"/>
  <c r="I241" i="20" s="1"/>
  <c r="D153" i="20"/>
  <c r="G152" i="20"/>
  <c r="H152" i="20"/>
  <c r="I152" i="20" s="1"/>
  <c r="D775" i="20"/>
  <c r="H774" i="20"/>
  <c r="I774" i="20" s="1"/>
  <c r="G774" i="20"/>
  <c r="D1268" i="13"/>
  <c r="G1267" i="13"/>
  <c r="D333" i="20"/>
  <c r="H332" i="20"/>
  <c r="G332" i="20"/>
  <c r="E421" i="20"/>
  <c r="F421" i="20" s="1"/>
  <c r="E511" i="20"/>
  <c r="F511" i="20"/>
  <c r="D512" i="20" s="1"/>
  <c r="F1095" i="13"/>
  <c r="D1096" i="13" s="1"/>
  <c r="G1095" i="13"/>
  <c r="E1095" i="13"/>
  <c r="H920" i="13"/>
  <c r="I920" i="13"/>
  <c r="J920" i="13" s="1"/>
  <c r="F1135" i="20"/>
  <c r="D1136" i="20" s="1"/>
  <c r="E1135" i="20"/>
  <c r="H1135" i="20"/>
  <c r="F492" i="13"/>
  <c r="D493" i="13" s="1"/>
  <c r="E492" i="13"/>
  <c r="G921" i="13"/>
  <c r="E399" i="13"/>
  <c r="F399" i="13" s="1"/>
  <c r="E230" i="13"/>
  <c r="F230" i="13" s="1"/>
  <c r="E686" i="20"/>
  <c r="F686" i="20"/>
  <c r="D687" i="20" s="1"/>
  <c r="G686" i="20"/>
  <c r="H832" i="13"/>
  <c r="I832" i="13"/>
  <c r="J832" i="13" s="1"/>
  <c r="E952" i="20"/>
  <c r="F952" i="20" s="1"/>
  <c r="I1216" i="20"/>
  <c r="H657" i="13"/>
  <c r="I657" i="13"/>
  <c r="J657" i="13" s="1"/>
  <c r="E864" i="20"/>
  <c r="F864" i="20" s="1"/>
  <c r="H746" i="13"/>
  <c r="I746" i="13"/>
  <c r="H1008" i="13"/>
  <c r="I1008" i="13"/>
  <c r="J1008" i="13" s="1"/>
  <c r="H1179" i="13"/>
  <c r="I1179" i="13"/>
  <c r="J1179" i="13" s="1"/>
  <c r="H491" i="13"/>
  <c r="I491" i="13"/>
  <c r="J491" i="13" s="1"/>
  <c r="H398" i="13"/>
  <c r="I398" i="13"/>
  <c r="J398" i="13" s="1"/>
  <c r="E149" i="13"/>
  <c r="F149" i="13"/>
  <c r="D150" i="13" s="1"/>
  <c r="G149" i="13"/>
  <c r="E1044" i="20"/>
  <c r="F1044" i="20" s="1"/>
  <c r="E1009" i="13"/>
  <c r="F1009" i="13" s="1"/>
  <c r="E1180" i="13"/>
  <c r="F1180" i="13"/>
  <c r="D1181" i="13" s="1"/>
  <c r="I331" i="20"/>
  <c r="H510" i="20"/>
  <c r="I684" i="20"/>
  <c r="E833" i="13"/>
  <c r="F833" i="13" s="1"/>
  <c r="H581" i="13"/>
  <c r="I581" i="13"/>
  <c r="E1217" i="20"/>
  <c r="F1217" i="20"/>
  <c r="D1218" i="20" s="1"/>
  <c r="G1217" i="20"/>
  <c r="E658" i="13"/>
  <c r="F658" i="13" s="1"/>
  <c r="H321" i="13"/>
  <c r="I321" i="13"/>
  <c r="J321" i="13" s="1"/>
  <c r="F922" i="13"/>
  <c r="D923" i="13" s="1"/>
  <c r="G922" i="13"/>
  <c r="E922" i="13"/>
  <c r="H229" i="13"/>
  <c r="I229" i="13"/>
  <c r="J229" i="13" s="1"/>
  <c r="E747" i="13"/>
  <c r="F747" i="13" s="1"/>
  <c r="H420" i="20"/>
  <c r="F322" i="13"/>
  <c r="D323" i="13" s="1"/>
  <c r="E322" i="13"/>
  <c r="G420" i="20"/>
  <c r="H397" i="13"/>
  <c r="I397" i="13"/>
  <c r="H1134" i="20"/>
  <c r="I1134" i="20" s="1"/>
  <c r="J320" i="13"/>
  <c r="G510" i="20"/>
  <c r="I151" i="20"/>
  <c r="H685" i="20"/>
  <c r="I685" i="20" s="1"/>
  <c r="H148" i="13"/>
  <c r="I148" i="13"/>
  <c r="J148" i="13" s="1"/>
  <c r="I951" i="20"/>
  <c r="E582" i="13"/>
  <c r="F582" i="13"/>
  <c r="D583" i="13" s="1"/>
  <c r="H1094" i="13"/>
  <c r="I1094" i="13"/>
  <c r="J1094" i="13" s="1"/>
  <c r="I1043" i="20"/>
  <c r="E596" i="20"/>
  <c r="F596" i="20" s="1"/>
  <c r="D953" i="20" l="1"/>
  <c r="G952" i="20"/>
  <c r="H952" i="20"/>
  <c r="I952" i="20" s="1"/>
  <c r="D748" i="13"/>
  <c r="G747" i="13"/>
  <c r="D1010" i="13"/>
  <c r="G1009" i="13"/>
  <c r="D422" i="20"/>
  <c r="G421" i="20"/>
  <c r="H421" i="20"/>
  <c r="I421" i="20" s="1"/>
  <c r="D597" i="20"/>
  <c r="G596" i="20"/>
  <c r="H596" i="20"/>
  <c r="D865" i="20"/>
  <c r="G864" i="20"/>
  <c r="H864" i="20"/>
  <c r="I864" i="20" s="1"/>
  <c r="D659" i="13"/>
  <c r="G658" i="13"/>
  <c r="D1045" i="20"/>
  <c r="G1044" i="20"/>
  <c r="H1044" i="20"/>
  <c r="D231" i="13"/>
  <c r="G230" i="13"/>
  <c r="D834" i="13"/>
  <c r="G833" i="13"/>
  <c r="D400" i="13"/>
  <c r="G399" i="13"/>
  <c r="E323" i="13"/>
  <c r="F323" i="13" s="1"/>
  <c r="H922" i="13"/>
  <c r="I922" i="13"/>
  <c r="J922" i="13" s="1"/>
  <c r="E1181" i="13"/>
  <c r="F1181" i="13"/>
  <c r="D1182" i="13" s="1"/>
  <c r="J746" i="13"/>
  <c r="E493" i="13"/>
  <c r="F493" i="13" s="1"/>
  <c r="E1136" i="20"/>
  <c r="F1136" i="20" s="1"/>
  <c r="H1095" i="13"/>
  <c r="I1095" i="13"/>
  <c r="E512" i="20"/>
  <c r="F512" i="20"/>
  <c r="D513" i="20" s="1"/>
  <c r="G512" i="20"/>
  <c r="E333" i="20"/>
  <c r="F333" i="20"/>
  <c r="D334" i="20" s="1"/>
  <c r="G333" i="20"/>
  <c r="E153" i="20"/>
  <c r="F153" i="20"/>
  <c r="D154" i="20" s="1"/>
  <c r="G153" i="20"/>
  <c r="E583" i="13"/>
  <c r="F583" i="13"/>
  <c r="D584" i="13" s="1"/>
  <c r="G582" i="13"/>
  <c r="E923" i="13"/>
  <c r="F923" i="13"/>
  <c r="D924" i="13" s="1"/>
  <c r="G923" i="13"/>
  <c r="E1218" i="20"/>
  <c r="F1218" i="20"/>
  <c r="D1219" i="20" s="1"/>
  <c r="G1218" i="20"/>
  <c r="H1218" i="20"/>
  <c r="I1218" i="20" s="1"/>
  <c r="I510" i="20"/>
  <c r="H149" i="13"/>
  <c r="I149" i="13"/>
  <c r="J149" i="13" s="1"/>
  <c r="E687" i="20"/>
  <c r="F687" i="20" s="1"/>
  <c r="H921" i="13"/>
  <c r="I921" i="13"/>
  <c r="E1096" i="13"/>
  <c r="F1096" i="13"/>
  <c r="D1097" i="13" s="1"/>
  <c r="H1267" i="13"/>
  <c r="I1267" i="13"/>
  <c r="J1267" i="13" s="1"/>
  <c r="F775" i="20"/>
  <c r="D776" i="20" s="1"/>
  <c r="E775" i="20"/>
  <c r="I420" i="20"/>
  <c r="E150" i="13"/>
  <c r="F150" i="13"/>
  <c r="D151" i="13" s="1"/>
  <c r="G150" i="13"/>
  <c r="G1135" i="20"/>
  <c r="I1135" i="20" s="1"/>
  <c r="H511" i="20"/>
  <c r="E1268" i="13"/>
  <c r="F1268" i="13"/>
  <c r="D1269" i="13" s="1"/>
  <c r="G1268" i="13"/>
  <c r="J397" i="13"/>
  <c r="G322" i="13"/>
  <c r="H1217" i="20"/>
  <c r="I1217" i="20" s="1"/>
  <c r="J581" i="13"/>
  <c r="G1180" i="13"/>
  <c r="H686" i="20"/>
  <c r="I686" i="20" s="1"/>
  <c r="G492" i="13"/>
  <c r="G511" i="20"/>
  <c r="I332" i="20"/>
  <c r="E242" i="20"/>
  <c r="F242" i="20"/>
  <c r="D243" i="20" s="1"/>
  <c r="G242" i="20"/>
  <c r="D688" i="20" l="1"/>
  <c r="G687" i="20"/>
  <c r="H687" i="20"/>
  <c r="I687" i="20" s="1"/>
  <c r="D1137" i="20"/>
  <c r="G1136" i="20"/>
  <c r="H1136" i="20"/>
  <c r="I1136" i="20" s="1"/>
  <c r="D324" i="13"/>
  <c r="G323" i="13"/>
  <c r="D494" i="13"/>
  <c r="G493" i="13"/>
  <c r="H1268" i="13"/>
  <c r="I1268" i="13"/>
  <c r="J1268" i="13" s="1"/>
  <c r="H492" i="13"/>
  <c r="I492" i="13"/>
  <c r="J492" i="13" s="1"/>
  <c r="H775" i="20"/>
  <c r="E924" i="13"/>
  <c r="F924" i="13" s="1"/>
  <c r="E154" i="20"/>
  <c r="F154" i="20"/>
  <c r="D155" i="20" s="1"/>
  <c r="E334" i="20"/>
  <c r="F334" i="20"/>
  <c r="D335" i="20" s="1"/>
  <c r="E513" i="20"/>
  <c r="F513" i="20" s="1"/>
  <c r="E1182" i="13"/>
  <c r="F1182" i="13" s="1"/>
  <c r="H399" i="13"/>
  <c r="I399" i="13"/>
  <c r="J399" i="13" s="1"/>
  <c r="H230" i="13"/>
  <c r="I230" i="13"/>
  <c r="E1045" i="20"/>
  <c r="F1045" i="20"/>
  <c r="D1046" i="20" s="1"/>
  <c r="G1045" i="20"/>
  <c r="E597" i="20"/>
  <c r="F597" i="20" s="1"/>
  <c r="H1009" i="13"/>
  <c r="I1009" i="13"/>
  <c r="J1009" i="13" s="1"/>
  <c r="F776" i="20"/>
  <c r="D777" i="20" s="1"/>
  <c r="E776" i="20"/>
  <c r="G584" i="13"/>
  <c r="E584" i="13"/>
  <c r="F584" i="13"/>
  <c r="D585" i="13" s="1"/>
  <c r="E422" i="20"/>
  <c r="F422" i="20"/>
  <c r="D423" i="20" s="1"/>
  <c r="E243" i="20"/>
  <c r="F243" i="20" s="1"/>
  <c r="E1269" i="13"/>
  <c r="F1269" i="13" s="1"/>
  <c r="H322" i="13"/>
  <c r="I322" i="13"/>
  <c r="J322" i="13" s="1"/>
  <c r="E151" i="13"/>
  <c r="F151" i="13" s="1"/>
  <c r="E1219" i="20"/>
  <c r="F1219" i="20"/>
  <c r="D1220" i="20" s="1"/>
  <c r="G583" i="13"/>
  <c r="G1181" i="13"/>
  <c r="E400" i="13"/>
  <c r="F400" i="13" s="1"/>
  <c r="E231" i="13"/>
  <c r="F231" i="13" s="1"/>
  <c r="H658" i="13"/>
  <c r="I658" i="13"/>
  <c r="J658" i="13" s="1"/>
  <c r="E865" i="20"/>
  <c r="F865" i="20"/>
  <c r="D866" i="20" s="1"/>
  <c r="G865" i="20"/>
  <c r="H865" i="20"/>
  <c r="I865" i="20" s="1"/>
  <c r="E1010" i="13"/>
  <c r="F1010" i="13"/>
  <c r="D1011" i="13" s="1"/>
  <c r="G1010" i="13"/>
  <c r="E1097" i="13"/>
  <c r="F1097" i="13" s="1"/>
  <c r="H923" i="13"/>
  <c r="I923" i="13"/>
  <c r="J923" i="13" s="1"/>
  <c r="E834" i="13"/>
  <c r="F834" i="13" s="1"/>
  <c r="E748" i="13"/>
  <c r="F748" i="13" s="1"/>
  <c r="H150" i="13"/>
  <c r="I150" i="13"/>
  <c r="J150" i="13" s="1"/>
  <c r="G775" i="20"/>
  <c r="H242" i="20"/>
  <c r="I242" i="20" s="1"/>
  <c r="H1180" i="13"/>
  <c r="I1180" i="13"/>
  <c r="J1180" i="13" s="1"/>
  <c r="I511" i="20"/>
  <c r="G1096" i="13"/>
  <c r="J921" i="13"/>
  <c r="H582" i="13"/>
  <c r="I582" i="13"/>
  <c r="H153" i="20"/>
  <c r="I153" i="20" s="1"/>
  <c r="H333" i="20"/>
  <c r="I333" i="20" s="1"/>
  <c r="H512" i="20"/>
  <c r="I512" i="20" s="1"/>
  <c r="J1095" i="13"/>
  <c r="H833" i="13"/>
  <c r="I833" i="13"/>
  <c r="J833" i="13" s="1"/>
  <c r="I1044" i="20"/>
  <c r="E659" i="13"/>
  <c r="F659" i="13"/>
  <c r="D660" i="13" s="1"/>
  <c r="I596" i="20"/>
  <c r="H747" i="13"/>
  <c r="I747" i="13"/>
  <c r="J747" i="13" s="1"/>
  <c r="E953" i="20"/>
  <c r="F953" i="20"/>
  <c r="D954" i="20" s="1"/>
  <c r="D749" i="13" l="1"/>
  <c r="G748" i="13"/>
  <c r="D152" i="13"/>
  <c r="G151" i="13"/>
  <c r="D925" i="13"/>
  <c r="G924" i="13"/>
  <c r="D835" i="13"/>
  <c r="G834" i="13"/>
  <c r="D1098" i="13"/>
  <c r="G1097" i="13"/>
  <c r="D244" i="20"/>
  <c r="G243" i="20"/>
  <c r="H243" i="20"/>
  <c r="D232" i="13"/>
  <c r="G231" i="13"/>
  <c r="D598" i="20"/>
  <c r="H597" i="20"/>
  <c r="I597" i="20" s="1"/>
  <c r="G597" i="20"/>
  <c r="D1183" i="13"/>
  <c r="G1182" i="13"/>
  <c r="D401" i="13"/>
  <c r="G400" i="13"/>
  <c r="D1270" i="13"/>
  <c r="G1269" i="13"/>
  <c r="D514" i="20"/>
  <c r="G513" i="20"/>
  <c r="H513" i="20"/>
  <c r="I513" i="20" s="1"/>
  <c r="F1220" i="20"/>
  <c r="D1221" i="20" s="1"/>
  <c r="E1220" i="20"/>
  <c r="E423" i="20"/>
  <c r="F423" i="20" s="1"/>
  <c r="H583" i="13"/>
  <c r="I583" i="13"/>
  <c r="H776" i="20"/>
  <c r="E1046" i="20"/>
  <c r="F1046" i="20"/>
  <c r="D1047" i="20" s="1"/>
  <c r="I775" i="20"/>
  <c r="E324" i="13"/>
  <c r="F324" i="13" s="1"/>
  <c r="H584" i="13"/>
  <c r="I584" i="13"/>
  <c r="J584" i="13" s="1"/>
  <c r="E1137" i="20"/>
  <c r="F1137" i="20" s="1"/>
  <c r="H1010" i="13"/>
  <c r="I1010" i="13"/>
  <c r="H953" i="20"/>
  <c r="I953" i="20" s="1"/>
  <c r="H1096" i="13"/>
  <c r="I1096" i="13"/>
  <c r="E1011" i="13"/>
  <c r="F1011" i="13"/>
  <c r="D1012" i="13" s="1"/>
  <c r="G1011" i="13"/>
  <c r="F866" i="20"/>
  <c r="D867" i="20" s="1"/>
  <c r="E866" i="20"/>
  <c r="G866" i="20"/>
  <c r="H866" i="20"/>
  <c r="I866" i="20" s="1"/>
  <c r="H1219" i="20"/>
  <c r="H422" i="20"/>
  <c r="E585" i="13"/>
  <c r="F585" i="13" s="1"/>
  <c r="G776" i="20"/>
  <c r="H334" i="20"/>
  <c r="I334" i="20" s="1"/>
  <c r="H154" i="20"/>
  <c r="I154" i="20" s="1"/>
  <c r="H493" i="13"/>
  <c r="I493" i="13"/>
  <c r="J493" i="13" s="1"/>
  <c r="E954" i="20"/>
  <c r="F954" i="20"/>
  <c r="D955" i="20" s="1"/>
  <c r="H1181" i="13"/>
  <c r="I1181" i="13"/>
  <c r="J1181" i="13" s="1"/>
  <c r="E777" i="20"/>
  <c r="F777" i="20" s="1"/>
  <c r="E335" i="20"/>
  <c r="F335" i="20" s="1"/>
  <c r="E155" i="20"/>
  <c r="F155" i="20" s="1"/>
  <c r="H323" i="13"/>
  <c r="I323" i="13"/>
  <c r="E660" i="13"/>
  <c r="F660" i="13"/>
  <c r="D661" i="13" s="1"/>
  <c r="G953" i="20"/>
  <c r="G659" i="13"/>
  <c r="J582" i="13"/>
  <c r="G1219" i="20"/>
  <c r="G422" i="20"/>
  <c r="H1045" i="20"/>
  <c r="I1045" i="20" s="1"/>
  <c r="J230" i="13"/>
  <c r="G334" i="20"/>
  <c r="G154" i="20"/>
  <c r="E494" i="13"/>
  <c r="F494" i="13"/>
  <c r="D495" i="13" s="1"/>
  <c r="E688" i="20"/>
  <c r="F688" i="20"/>
  <c r="D689" i="20" s="1"/>
  <c r="G688" i="20"/>
  <c r="D1138" i="20" l="1"/>
  <c r="H1137" i="20"/>
  <c r="G1137" i="20"/>
  <c r="D586" i="13"/>
  <c r="G585" i="13"/>
  <c r="D156" i="20"/>
  <c r="H155" i="20"/>
  <c r="G155" i="20"/>
  <c r="D336" i="20"/>
  <c r="G335" i="20"/>
  <c r="H335" i="20"/>
  <c r="I335" i="20" s="1"/>
  <c r="D424" i="20"/>
  <c r="G423" i="20"/>
  <c r="H423" i="20"/>
  <c r="I423" i="20" s="1"/>
  <c r="D778" i="20"/>
  <c r="G777" i="20"/>
  <c r="H777" i="20"/>
  <c r="D325" i="13"/>
  <c r="G324" i="13"/>
  <c r="E598" i="20"/>
  <c r="F598" i="20" s="1"/>
  <c r="E1012" i="13"/>
  <c r="F1012" i="13" s="1"/>
  <c r="H1220" i="20"/>
  <c r="I1220" i="20" s="1"/>
  <c r="E1270" i="13"/>
  <c r="F1270" i="13" s="1"/>
  <c r="E1183" i="13"/>
  <c r="F1183" i="13"/>
  <c r="D1184" i="13" s="1"/>
  <c r="H231" i="13"/>
  <c r="I231" i="13"/>
  <c r="J231" i="13" s="1"/>
  <c r="E244" i="20"/>
  <c r="F244" i="20" s="1"/>
  <c r="E835" i="13"/>
  <c r="F835" i="13" s="1"/>
  <c r="E152" i="13"/>
  <c r="F152" i="13" s="1"/>
  <c r="E661" i="13"/>
  <c r="F661" i="13"/>
  <c r="D662" i="13" s="1"/>
  <c r="G661" i="13"/>
  <c r="H1011" i="13"/>
  <c r="I1011" i="13"/>
  <c r="J1011" i="13" s="1"/>
  <c r="E1047" i="20"/>
  <c r="F1047" i="20"/>
  <c r="D1048" i="20" s="1"/>
  <c r="E1221" i="20"/>
  <c r="F1221" i="20"/>
  <c r="D1222" i="20" s="1"/>
  <c r="H151" i="13"/>
  <c r="I151" i="13"/>
  <c r="J151" i="13" s="1"/>
  <c r="E689" i="20"/>
  <c r="F689" i="20" s="1"/>
  <c r="H659" i="13"/>
  <c r="I659" i="13"/>
  <c r="J659" i="13" s="1"/>
  <c r="J323" i="13"/>
  <c r="H954" i="20"/>
  <c r="I954" i="20" s="1"/>
  <c r="I422" i="20"/>
  <c r="J1010" i="13"/>
  <c r="H1046" i="20"/>
  <c r="I776" i="20"/>
  <c r="G1220" i="20"/>
  <c r="H400" i="13"/>
  <c r="I400" i="13"/>
  <c r="J400" i="13" s="1"/>
  <c r="E232" i="13"/>
  <c r="F232" i="13" s="1"/>
  <c r="H1097" i="13"/>
  <c r="I1097" i="13"/>
  <c r="J1097" i="13" s="1"/>
  <c r="H924" i="13"/>
  <c r="I924" i="13"/>
  <c r="J924" i="13" s="1"/>
  <c r="H748" i="13"/>
  <c r="I748" i="13"/>
  <c r="J748" i="13" s="1"/>
  <c r="E495" i="13"/>
  <c r="F495" i="13"/>
  <c r="D496" i="13" s="1"/>
  <c r="G495" i="13"/>
  <c r="E955" i="20"/>
  <c r="F955" i="20" s="1"/>
  <c r="H1269" i="13"/>
  <c r="I1269" i="13"/>
  <c r="H1182" i="13"/>
  <c r="I1182" i="13"/>
  <c r="J1182" i="13" s="1"/>
  <c r="H834" i="13"/>
  <c r="I834" i="13"/>
  <c r="H688" i="20"/>
  <c r="I688" i="20" s="1"/>
  <c r="G494" i="13"/>
  <c r="G660" i="13"/>
  <c r="G954" i="20"/>
  <c r="I1219" i="20"/>
  <c r="E867" i="20"/>
  <c r="F867" i="20" s="1"/>
  <c r="J1096" i="13"/>
  <c r="G1046" i="20"/>
  <c r="J583" i="13"/>
  <c r="E514" i="20"/>
  <c r="F514" i="20"/>
  <c r="D515" i="20" s="1"/>
  <c r="G514" i="20"/>
  <c r="E401" i="13"/>
  <c r="F401" i="13"/>
  <c r="D402" i="13" s="1"/>
  <c r="I243" i="20"/>
  <c r="E1098" i="13"/>
  <c r="F1098" i="13"/>
  <c r="D1099" i="13" s="1"/>
  <c r="E925" i="13"/>
  <c r="F925" i="13"/>
  <c r="D926" i="13" s="1"/>
  <c r="E749" i="13"/>
  <c r="F749" i="13" s="1"/>
  <c r="D956" i="20" l="1"/>
  <c r="H955" i="20"/>
  <c r="G955" i="20"/>
  <c r="D245" i="20"/>
  <c r="G244" i="20"/>
  <c r="H244" i="20"/>
  <c r="I244" i="20" s="1"/>
  <c r="D599" i="20"/>
  <c r="G598" i="20"/>
  <c r="H598" i="20"/>
  <c r="D1271" i="13"/>
  <c r="G1270" i="13"/>
  <c r="D750" i="13"/>
  <c r="G749" i="13"/>
  <c r="D233" i="13"/>
  <c r="G232" i="13"/>
  <c r="D690" i="20"/>
  <c r="G689" i="20"/>
  <c r="H689" i="20"/>
  <c r="D153" i="13"/>
  <c r="G152" i="13"/>
  <c r="D868" i="20"/>
  <c r="G867" i="20"/>
  <c r="H867" i="20"/>
  <c r="I867" i="20" s="1"/>
  <c r="D836" i="13"/>
  <c r="G835" i="13"/>
  <c r="D1013" i="13"/>
  <c r="G1012" i="13"/>
  <c r="F1099" i="13"/>
  <c r="D1100" i="13" s="1"/>
  <c r="E1099" i="13"/>
  <c r="H660" i="13"/>
  <c r="I660" i="13"/>
  <c r="J660" i="13" s="1"/>
  <c r="E1048" i="20"/>
  <c r="F1048" i="20" s="1"/>
  <c r="F424" i="20"/>
  <c r="D425" i="20" s="1"/>
  <c r="E424" i="20"/>
  <c r="H424" i="20"/>
  <c r="G586" i="13"/>
  <c r="E586" i="13"/>
  <c r="F586" i="13"/>
  <c r="D587" i="13" s="1"/>
  <c r="E402" i="13"/>
  <c r="F402" i="13" s="1"/>
  <c r="G1098" i="13"/>
  <c r="H495" i="13"/>
  <c r="I495" i="13"/>
  <c r="I1046" i="20"/>
  <c r="E662" i="13"/>
  <c r="F662" i="13" s="1"/>
  <c r="H324" i="13"/>
  <c r="I324" i="13"/>
  <c r="J324" i="13" s="1"/>
  <c r="E778" i="20"/>
  <c r="F778" i="20" s="1"/>
  <c r="I155" i="20"/>
  <c r="H661" i="13"/>
  <c r="I661" i="13"/>
  <c r="E1184" i="13"/>
  <c r="F1184" i="13" s="1"/>
  <c r="E926" i="13"/>
  <c r="F926" i="13" s="1"/>
  <c r="G401" i="13"/>
  <c r="H494" i="13"/>
  <c r="I494" i="13"/>
  <c r="J494" i="13" s="1"/>
  <c r="E496" i="13"/>
  <c r="F496" i="13" s="1"/>
  <c r="H1221" i="20"/>
  <c r="H1047" i="20"/>
  <c r="I1047" i="20" s="1"/>
  <c r="G325" i="13"/>
  <c r="E325" i="13"/>
  <c r="F325" i="13"/>
  <c r="D326" i="13" s="1"/>
  <c r="E156" i="20"/>
  <c r="F156" i="20" s="1"/>
  <c r="I1137" i="20"/>
  <c r="E1222" i="20"/>
  <c r="F1222" i="20" s="1"/>
  <c r="E515" i="20"/>
  <c r="F515" i="20" s="1"/>
  <c r="G925" i="13"/>
  <c r="H514" i="20"/>
  <c r="I514" i="20" s="1"/>
  <c r="J834" i="13"/>
  <c r="J1269" i="13"/>
  <c r="G1221" i="20"/>
  <c r="G1047" i="20"/>
  <c r="G1183" i="13"/>
  <c r="I777" i="20"/>
  <c r="E336" i="20"/>
  <c r="F336" i="20" s="1"/>
  <c r="H585" i="13"/>
  <c r="I585" i="13"/>
  <c r="E1138" i="20"/>
  <c r="F1138" i="20"/>
  <c r="D1139" i="20" s="1"/>
  <c r="D927" i="13" l="1"/>
  <c r="G926" i="13"/>
  <c r="D403" i="13"/>
  <c r="G402" i="13"/>
  <c r="D497" i="13"/>
  <c r="G496" i="13"/>
  <c r="D1049" i="20"/>
  <c r="H1048" i="20"/>
  <c r="I1048" i="20" s="1"/>
  <c r="G1048" i="20"/>
  <c r="D779" i="20"/>
  <c r="G778" i="20"/>
  <c r="H778" i="20"/>
  <c r="I778" i="20" s="1"/>
  <c r="D337" i="20"/>
  <c r="G336" i="20"/>
  <c r="H336" i="20"/>
  <c r="I336" i="20" s="1"/>
  <c r="D157" i="20"/>
  <c r="G156" i="20"/>
  <c r="H156" i="20"/>
  <c r="D1223" i="20"/>
  <c r="H1222" i="20"/>
  <c r="I1222" i="20" s="1"/>
  <c r="G1222" i="20"/>
  <c r="D663" i="13"/>
  <c r="G662" i="13"/>
  <c r="D1185" i="13"/>
  <c r="G1184" i="13"/>
  <c r="D516" i="20"/>
  <c r="G515" i="20"/>
  <c r="H515" i="20"/>
  <c r="I515" i="20" s="1"/>
  <c r="E836" i="13"/>
  <c r="F836" i="13"/>
  <c r="D837" i="13" s="1"/>
  <c r="G836" i="13"/>
  <c r="E690" i="20"/>
  <c r="F690" i="20" s="1"/>
  <c r="H1183" i="13"/>
  <c r="I1183" i="13"/>
  <c r="E326" i="13"/>
  <c r="F326" i="13"/>
  <c r="D327" i="13" s="1"/>
  <c r="I1221" i="20"/>
  <c r="H1098" i="13"/>
  <c r="I1098" i="13"/>
  <c r="J1098" i="13" s="1"/>
  <c r="G587" i="13"/>
  <c r="E587" i="13"/>
  <c r="F587" i="13"/>
  <c r="D588" i="13" s="1"/>
  <c r="G424" i="20"/>
  <c r="I424" i="20" s="1"/>
  <c r="H1012" i="13"/>
  <c r="I1012" i="13"/>
  <c r="E153" i="13"/>
  <c r="G153" i="13"/>
  <c r="F153" i="13"/>
  <c r="D154" i="13" s="1"/>
  <c r="H232" i="13"/>
  <c r="I232" i="13"/>
  <c r="J232" i="13" s="1"/>
  <c r="H1270" i="13"/>
  <c r="I1270" i="13"/>
  <c r="E599" i="20"/>
  <c r="F599" i="20" s="1"/>
  <c r="E1139" i="20"/>
  <c r="F1139" i="20" s="1"/>
  <c r="E1100" i="13"/>
  <c r="F1100" i="13"/>
  <c r="D1101" i="13" s="1"/>
  <c r="H152" i="13"/>
  <c r="I152" i="13"/>
  <c r="E750" i="13"/>
  <c r="F750" i="13" s="1"/>
  <c r="E245" i="20"/>
  <c r="F245" i="20"/>
  <c r="D246" i="20" s="1"/>
  <c r="G245" i="20"/>
  <c r="H245" i="20"/>
  <c r="H1138" i="20"/>
  <c r="J585" i="13"/>
  <c r="J661" i="13"/>
  <c r="G1099" i="13"/>
  <c r="E1013" i="13"/>
  <c r="F1013" i="13"/>
  <c r="D1014" i="13" s="1"/>
  <c r="I689" i="20"/>
  <c r="E233" i="13"/>
  <c r="F233" i="13"/>
  <c r="D234" i="13" s="1"/>
  <c r="F1271" i="13"/>
  <c r="D1272" i="13" s="1"/>
  <c r="E1271" i="13"/>
  <c r="I955" i="20"/>
  <c r="G1138" i="20"/>
  <c r="H925" i="13"/>
  <c r="I925" i="13"/>
  <c r="J925" i="13" s="1"/>
  <c r="H325" i="13"/>
  <c r="I325" i="13"/>
  <c r="H401" i="13"/>
  <c r="I401" i="13"/>
  <c r="J401" i="13" s="1"/>
  <c r="J495" i="13"/>
  <c r="H586" i="13"/>
  <c r="I586" i="13"/>
  <c r="E425" i="20"/>
  <c r="F425" i="20"/>
  <c r="D426" i="20" s="1"/>
  <c r="H835" i="13"/>
  <c r="I835" i="13"/>
  <c r="J835" i="13" s="1"/>
  <c r="E868" i="20"/>
  <c r="F868" i="20" s="1"/>
  <c r="H749" i="13"/>
  <c r="I749" i="13"/>
  <c r="I598" i="20"/>
  <c r="E956" i="20"/>
  <c r="F956" i="20" s="1"/>
  <c r="D691" i="20" l="1"/>
  <c r="H690" i="20"/>
  <c r="G690" i="20"/>
  <c r="D751" i="13"/>
  <c r="G750" i="13"/>
  <c r="D869" i="20"/>
  <c r="H868" i="20"/>
  <c r="G868" i="20"/>
  <c r="D1140" i="20"/>
  <c r="H1139" i="20"/>
  <c r="G1139" i="20"/>
  <c r="D957" i="20"/>
  <c r="G956" i="20"/>
  <c r="H956" i="20"/>
  <c r="I956" i="20" s="1"/>
  <c r="D600" i="20"/>
  <c r="H599" i="20"/>
  <c r="I599" i="20" s="1"/>
  <c r="G599" i="20"/>
  <c r="E426" i="20"/>
  <c r="F426" i="20" s="1"/>
  <c r="E1014" i="13"/>
  <c r="F1014" i="13"/>
  <c r="D1015" i="13" s="1"/>
  <c r="E327" i="13"/>
  <c r="F327" i="13" s="1"/>
  <c r="E157" i="20"/>
  <c r="F157" i="20" s="1"/>
  <c r="E246" i="20"/>
  <c r="F246" i="20" s="1"/>
  <c r="E588" i="13"/>
  <c r="F588" i="13" s="1"/>
  <c r="E837" i="13"/>
  <c r="F837" i="13" s="1"/>
  <c r="H662" i="13"/>
  <c r="I662" i="13"/>
  <c r="J662" i="13" s="1"/>
  <c r="F1223" i="20"/>
  <c r="D1224" i="20" s="1"/>
  <c r="E1223" i="20"/>
  <c r="F1049" i="20"/>
  <c r="D1050" i="20" s="1"/>
  <c r="E1049" i="20"/>
  <c r="E403" i="13"/>
  <c r="F403" i="13" s="1"/>
  <c r="E234" i="13"/>
  <c r="F234" i="13" s="1"/>
  <c r="E1101" i="13"/>
  <c r="F1101" i="13" s="1"/>
  <c r="H153" i="13"/>
  <c r="I153" i="13"/>
  <c r="H836" i="13"/>
  <c r="I836" i="13"/>
  <c r="J836" i="13" s="1"/>
  <c r="E1185" i="13"/>
  <c r="F1185" i="13" s="1"/>
  <c r="H402" i="13"/>
  <c r="I402" i="13"/>
  <c r="J749" i="13"/>
  <c r="H425" i="20"/>
  <c r="J586" i="13"/>
  <c r="G1271" i="13"/>
  <c r="G233" i="13"/>
  <c r="G1013" i="13"/>
  <c r="I1138" i="20"/>
  <c r="J152" i="13"/>
  <c r="G1100" i="13"/>
  <c r="J1012" i="13"/>
  <c r="J1183" i="13"/>
  <c r="F516" i="20"/>
  <c r="D517" i="20" s="1"/>
  <c r="E516" i="20"/>
  <c r="H516" i="20"/>
  <c r="E663" i="13"/>
  <c r="F663" i="13" s="1"/>
  <c r="I156" i="20"/>
  <c r="E779" i="20"/>
  <c r="F779" i="20" s="1"/>
  <c r="H496" i="13"/>
  <c r="I496" i="13"/>
  <c r="H926" i="13"/>
  <c r="I926" i="13"/>
  <c r="J926" i="13" s="1"/>
  <c r="G425" i="20"/>
  <c r="J325" i="13"/>
  <c r="E1272" i="13"/>
  <c r="F1272" i="13" s="1"/>
  <c r="H1099" i="13"/>
  <c r="I1099" i="13"/>
  <c r="I245" i="20"/>
  <c r="J1270" i="13"/>
  <c r="E154" i="13"/>
  <c r="F154" i="13"/>
  <c r="D155" i="13" s="1"/>
  <c r="H587" i="13"/>
  <c r="I587" i="13"/>
  <c r="G326" i="13"/>
  <c r="H1184" i="13"/>
  <c r="I1184" i="13"/>
  <c r="E337" i="20"/>
  <c r="F337" i="20" s="1"/>
  <c r="E497" i="13"/>
  <c r="F497" i="13" s="1"/>
  <c r="E927" i="13"/>
  <c r="F927" i="13" s="1"/>
  <c r="D664" i="13" l="1"/>
  <c r="G663" i="13"/>
  <c r="D1186" i="13"/>
  <c r="G1185" i="13"/>
  <c r="D247" i="20"/>
  <c r="G246" i="20"/>
  <c r="H246" i="20"/>
  <c r="I246" i="20" s="1"/>
  <c r="D589" i="13"/>
  <c r="G588" i="13"/>
  <c r="D928" i="13"/>
  <c r="G927" i="13"/>
  <c r="D498" i="13"/>
  <c r="G497" i="13"/>
  <c r="D780" i="20"/>
  <c r="H779" i="20"/>
  <c r="G779" i="20"/>
  <c r="D1102" i="13"/>
  <c r="G1101" i="13"/>
  <c r="D158" i="20"/>
  <c r="G157" i="20"/>
  <c r="H157" i="20"/>
  <c r="D427" i="20"/>
  <c r="H426" i="20"/>
  <c r="G426" i="20"/>
  <c r="D404" i="13"/>
  <c r="G403" i="13"/>
  <c r="D338" i="20"/>
  <c r="H337" i="20"/>
  <c r="I337" i="20" s="1"/>
  <c r="G337" i="20"/>
  <c r="D1273" i="13"/>
  <c r="G1272" i="13"/>
  <c r="D235" i="13"/>
  <c r="G234" i="13"/>
  <c r="D838" i="13"/>
  <c r="G837" i="13"/>
  <c r="D328" i="13"/>
  <c r="G327" i="13"/>
  <c r="E1050" i="20"/>
  <c r="F1050" i="20"/>
  <c r="D1051" i="20" s="1"/>
  <c r="E957" i="20"/>
  <c r="F957" i="20"/>
  <c r="D958" i="20" s="1"/>
  <c r="E751" i="13"/>
  <c r="F751" i="13" s="1"/>
  <c r="H326" i="13"/>
  <c r="I326" i="13"/>
  <c r="J326" i="13" s="1"/>
  <c r="J1099" i="13"/>
  <c r="G516" i="20"/>
  <c r="I516" i="20" s="1"/>
  <c r="H1013" i="13"/>
  <c r="I1013" i="13"/>
  <c r="J1013" i="13" s="1"/>
  <c r="I425" i="20"/>
  <c r="H1049" i="20"/>
  <c r="H1223" i="20"/>
  <c r="E600" i="20"/>
  <c r="F600" i="20"/>
  <c r="D601" i="20" s="1"/>
  <c r="I868" i="20"/>
  <c r="E155" i="13"/>
  <c r="F155" i="13" s="1"/>
  <c r="E1224" i="20"/>
  <c r="F1224" i="20"/>
  <c r="D1225" i="20" s="1"/>
  <c r="E1015" i="13"/>
  <c r="F1015" i="13"/>
  <c r="D1016" i="13" s="1"/>
  <c r="J587" i="13"/>
  <c r="G154" i="13"/>
  <c r="J496" i="13"/>
  <c r="H1100" i="13"/>
  <c r="I1100" i="13"/>
  <c r="H233" i="13"/>
  <c r="I233" i="13"/>
  <c r="J233" i="13" s="1"/>
  <c r="J153" i="13"/>
  <c r="G1049" i="20"/>
  <c r="G1223" i="20"/>
  <c r="G1014" i="13"/>
  <c r="I1139" i="20"/>
  <c r="E869" i="20"/>
  <c r="F869" i="20"/>
  <c r="D870" i="20" s="1"/>
  <c r="G869" i="20"/>
  <c r="I690" i="20"/>
  <c r="J1184" i="13"/>
  <c r="E517" i="20"/>
  <c r="F517" i="20" s="1"/>
  <c r="H1271" i="13"/>
  <c r="I1271" i="13"/>
  <c r="J402" i="13"/>
  <c r="E1140" i="20"/>
  <c r="F1140" i="20"/>
  <c r="D1141" i="20" s="1"/>
  <c r="H750" i="13"/>
  <c r="I750" i="13"/>
  <c r="J750" i="13" s="1"/>
  <c r="E691" i="20"/>
  <c r="F691" i="20" s="1"/>
  <c r="D752" i="13" l="1"/>
  <c r="G751" i="13"/>
  <c r="D156" i="13"/>
  <c r="G155" i="13"/>
  <c r="D692" i="20"/>
  <c r="H691" i="20"/>
  <c r="G691" i="20"/>
  <c r="D518" i="20"/>
  <c r="G517" i="20"/>
  <c r="H517" i="20"/>
  <c r="H1014" i="13"/>
  <c r="I1014" i="13"/>
  <c r="J1014" i="13" s="1"/>
  <c r="E1225" i="20"/>
  <c r="F1225" i="20" s="1"/>
  <c r="E1051" i="20"/>
  <c r="F1051" i="20" s="1"/>
  <c r="G328" i="13"/>
  <c r="E328" i="13"/>
  <c r="F328" i="13"/>
  <c r="D329" i="13" s="1"/>
  <c r="F235" i="13"/>
  <c r="D236" i="13" s="1"/>
  <c r="E235" i="13"/>
  <c r="E498" i="13"/>
  <c r="F498" i="13" s="1"/>
  <c r="E589" i="13"/>
  <c r="F589" i="13"/>
  <c r="D590" i="13" s="1"/>
  <c r="E870" i="20"/>
  <c r="F870" i="20" s="1"/>
  <c r="H837" i="13"/>
  <c r="I837" i="13"/>
  <c r="H1272" i="13"/>
  <c r="I1272" i="13"/>
  <c r="J1272" i="13" s="1"/>
  <c r="E338" i="20"/>
  <c r="F338" i="20" s="1"/>
  <c r="I426" i="20"/>
  <c r="E158" i="20"/>
  <c r="F158" i="20"/>
  <c r="D159" i="20" s="1"/>
  <c r="G158" i="20"/>
  <c r="H158" i="20"/>
  <c r="I779" i="20"/>
  <c r="H927" i="13"/>
  <c r="I927" i="13"/>
  <c r="J927" i="13" s="1"/>
  <c r="F1186" i="13"/>
  <c r="D1187" i="13" s="1"/>
  <c r="E1186" i="13"/>
  <c r="E1141" i="20"/>
  <c r="E1142" i="20" s="1"/>
  <c r="F1016" i="13"/>
  <c r="D1017" i="13" s="1"/>
  <c r="E1016" i="13"/>
  <c r="E601" i="20"/>
  <c r="F601" i="20"/>
  <c r="D602" i="20" s="1"/>
  <c r="E958" i="20"/>
  <c r="F958" i="20" s="1"/>
  <c r="H1185" i="13"/>
  <c r="I1185" i="13"/>
  <c r="J1185" i="13" s="1"/>
  <c r="H154" i="13"/>
  <c r="I154" i="13"/>
  <c r="H1140" i="20"/>
  <c r="J1100" i="13"/>
  <c r="H1224" i="20"/>
  <c r="H600" i="20"/>
  <c r="I1223" i="20"/>
  <c r="H957" i="20"/>
  <c r="H1050" i="20"/>
  <c r="E838" i="13"/>
  <c r="F838" i="13"/>
  <c r="D839" i="13" s="1"/>
  <c r="G838" i="13"/>
  <c r="G1273" i="13"/>
  <c r="E1273" i="13"/>
  <c r="F1273" i="13"/>
  <c r="D1274" i="13" s="1"/>
  <c r="H403" i="13"/>
  <c r="I403" i="13"/>
  <c r="E427" i="20"/>
  <c r="F427" i="20" s="1"/>
  <c r="H1101" i="13"/>
  <c r="I1101" i="13"/>
  <c r="J1101" i="13" s="1"/>
  <c r="F780" i="20"/>
  <c r="D781" i="20" s="1"/>
  <c r="E780" i="20"/>
  <c r="E928" i="13"/>
  <c r="F928" i="13" s="1"/>
  <c r="H663" i="13"/>
  <c r="I663" i="13"/>
  <c r="J663" i="13" s="1"/>
  <c r="G1140" i="20"/>
  <c r="J1271" i="13"/>
  <c r="H869" i="20"/>
  <c r="I869" i="20" s="1"/>
  <c r="G1015" i="13"/>
  <c r="G1224" i="20"/>
  <c r="G600" i="20"/>
  <c r="I1049" i="20"/>
  <c r="G957" i="20"/>
  <c r="G1050" i="20"/>
  <c r="H327" i="13"/>
  <c r="I327" i="13"/>
  <c r="J327" i="13" s="1"/>
  <c r="H234" i="13"/>
  <c r="I234" i="13"/>
  <c r="E404" i="13"/>
  <c r="F404" i="13" s="1"/>
  <c r="I157" i="20"/>
  <c r="E1102" i="13"/>
  <c r="F1102" i="13"/>
  <c r="D1103" i="13" s="1"/>
  <c r="H497" i="13"/>
  <c r="I497" i="13"/>
  <c r="H588" i="13"/>
  <c r="I588" i="13"/>
  <c r="J588" i="13" s="1"/>
  <c r="E247" i="20"/>
  <c r="F247" i="20" s="1"/>
  <c r="G664" i="13"/>
  <c r="E664" i="13"/>
  <c r="F664" i="13"/>
  <c r="D665" i="13" s="1"/>
  <c r="D339" i="20" l="1"/>
  <c r="G338" i="20"/>
  <c r="H338" i="20"/>
  <c r="I338" i="20" s="1"/>
  <c r="D428" i="20"/>
  <c r="H427" i="20"/>
  <c r="G427" i="20"/>
  <c r="D499" i="13"/>
  <c r="G498" i="13"/>
  <c r="D1052" i="20"/>
  <c r="H1051" i="20"/>
  <c r="G1051" i="20"/>
  <c r="D959" i="20"/>
  <c r="G958" i="20"/>
  <c r="H958" i="20"/>
  <c r="I958" i="20" s="1"/>
  <c r="D871" i="20"/>
  <c r="G870" i="20"/>
  <c r="H870" i="20"/>
  <c r="D248" i="20"/>
  <c r="H247" i="20"/>
  <c r="G247" i="20"/>
  <c r="D405" i="13"/>
  <c r="G404" i="13"/>
  <c r="D929" i="13"/>
  <c r="G928" i="13"/>
  <c r="D1226" i="20"/>
  <c r="H1225" i="20"/>
  <c r="G1225" i="20"/>
  <c r="F518" i="20"/>
  <c r="G518" i="20" s="1"/>
  <c r="G519" i="20" s="1"/>
  <c r="E518" i="20"/>
  <c r="E519" i="20" s="1"/>
  <c r="E665" i="13"/>
  <c r="F665" i="13" s="1"/>
  <c r="H780" i="20"/>
  <c r="E1274" i="13"/>
  <c r="F1274" i="13" s="1"/>
  <c r="E839" i="13"/>
  <c r="F839" i="13" s="1"/>
  <c r="I1140" i="20"/>
  <c r="G1186" i="13"/>
  <c r="F159" i="20"/>
  <c r="D160" i="20" s="1"/>
  <c r="E159" i="20"/>
  <c r="E329" i="13"/>
  <c r="F329" i="13" s="1"/>
  <c r="E156" i="13"/>
  <c r="F156" i="13" s="1"/>
  <c r="H838" i="13"/>
  <c r="I838" i="13"/>
  <c r="J838" i="13" s="1"/>
  <c r="I957" i="20"/>
  <c r="E602" i="20"/>
  <c r="F602" i="20" s="1"/>
  <c r="E1017" i="13"/>
  <c r="F1017" i="13" s="1"/>
  <c r="E590" i="13"/>
  <c r="F590" i="13" s="1"/>
  <c r="E236" i="13"/>
  <c r="F236" i="13" s="1"/>
  <c r="H155" i="13"/>
  <c r="I155" i="13"/>
  <c r="J155" i="13" s="1"/>
  <c r="J497" i="13"/>
  <c r="G1102" i="13"/>
  <c r="G780" i="20"/>
  <c r="I600" i="20"/>
  <c r="J154" i="13"/>
  <c r="H601" i="20"/>
  <c r="J837" i="13"/>
  <c r="G589" i="13"/>
  <c r="I517" i="20"/>
  <c r="I691" i="20"/>
  <c r="H751" i="13"/>
  <c r="I751" i="13"/>
  <c r="J751" i="13" s="1"/>
  <c r="F1103" i="13"/>
  <c r="D1104" i="13" s="1"/>
  <c r="E1103" i="13"/>
  <c r="H1015" i="13"/>
  <c r="I1015" i="13"/>
  <c r="J1015" i="13" s="1"/>
  <c r="E781" i="20"/>
  <c r="F781" i="20" s="1"/>
  <c r="H664" i="13"/>
  <c r="I664" i="13"/>
  <c r="J234" i="13"/>
  <c r="J403" i="13"/>
  <c r="H1273" i="13"/>
  <c r="I1273" i="13"/>
  <c r="I1050" i="20"/>
  <c r="I1224" i="20"/>
  <c r="G601" i="20"/>
  <c r="G1016" i="13"/>
  <c r="F1141" i="20"/>
  <c r="E1187" i="13"/>
  <c r="F1187" i="13" s="1"/>
  <c r="I158" i="20"/>
  <c r="G235" i="13"/>
  <c r="H328" i="13"/>
  <c r="I328" i="13"/>
  <c r="E692" i="20"/>
  <c r="F692" i="20"/>
  <c r="D693" i="20" s="1"/>
  <c r="G692" i="20"/>
  <c r="E752" i="13"/>
  <c r="F752" i="13" s="1"/>
  <c r="D1275" i="13" l="1"/>
  <c r="G1274" i="13"/>
  <c r="D157" i="13"/>
  <c r="G156" i="13"/>
  <c r="D237" i="13"/>
  <c r="G236" i="13"/>
  <c r="D330" i="13"/>
  <c r="G329" i="13"/>
  <c r="D666" i="13"/>
  <c r="G665" i="13"/>
  <c r="D1018" i="13"/>
  <c r="G1017" i="13"/>
  <c r="D603" i="20"/>
  <c r="G602" i="20"/>
  <c r="H602" i="20"/>
  <c r="D753" i="13"/>
  <c r="G752" i="13"/>
  <c r="D1188" i="13"/>
  <c r="G1187" i="13"/>
  <c r="D782" i="20"/>
  <c r="H781" i="20"/>
  <c r="G781" i="20"/>
  <c r="D591" i="13"/>
  <c r="G590" i="13"/>
  <c r="D840" i="13"/>
  <c r="G839" i="13"/>
  <c r="E693" i="20"/>
  <c r="F693" i="20"/>
  <c r="D694" i="20" s="1"/>
  <c r="H235" i="13"/>
  <c r="I235" i="13"/>
  <c r="J235" i="13" s="1"/>
  <c r="E160" i="20"/>
  <c r="F160" i="20" s="1"/>
  <c r="E959" i="20"/>
  <c r="F959" i="20"/>
  <c r="D960" i="20" s="1"/>
  <c r="H959" i="20"/>
  <c r="E428" i="20"/>
  <c r="F428" i="20"/>
  <c r="D429" i="20" s="1"/>
  <c r="H428" i="20"/>
  <c r="G1141" i="20"/>
  <c r="G1142" i="20" s="1"/>
  <c r="H1141" i="20"/>
  <c r="H589" i="13"/>
  <c r="I589" i="13"/>
  <c r="J589" i="13" s="1"/>
  <c r="H159" i="20"/>
  <c r="H1186" i="13"/>
  <c r="I1186" i="13"/>
  <c r="I780" i="20"/>
  <c r="H518" i="20"/>
  <c r="E929" i="13"/>
  <c r="F929" i="13" s="1"/>
  <c r="I247" i="20"/>
  <c r="E871" i="20"/>
  <c r="F871" i="20" s="1"/>
  <c r="E499" i="13"/>
  <c r="F499" i="13" s="1"/>
  <c r="F1104" i="13"/>
  <c r="D1105" i="13" s="1"/>
  <c r="G1104" i="13"/>
  <c r="E1104" i="13"/>
  <c r="H928" i="13"/>
  <c r="I928" i="13"/>
  <c r="H498" i="13"/>
  <c r="I498" i="13"/>
  <c r="H692" i="20"/>
  <c r="I692" i="20" s="1"/>
  <c r="J328" i="13"/>
  <c r="H1016" i="13"/>
  <c r="I1016" i="13"/>
  <c r="J1273" i="13"/>
  <c r="J664" i="13"/>
  <c r="G159" i="20"/>
  <c r="I1225" i="20"/>
  <c r="H404" i="13"/>
  <c r="I404" i="13"/>
  <c r="E248" i="20"/>
  <c r="F248" i="20" s="1"/>
  <c r="I1051" i="20"/>
  <c r="G1103" i="13"/>
  <c r="I601" i="20"/>
  <c r="H1102" i="13"/>
  <c r="I1102" i="13"/>
  <c r="J1102" i="13" s="1"/>
  <c r="E1226" i="20"/>
  <c r="F1226" i="20"/>
  <c r="D1227" i="20" s="1"/>
  <c r="E405" i="13"/>
  <c r="F405" i="13"/>
  <c r="D406" i="13" s="1"/>
  <c r="I870" i="20"/>
  <c r="E1052" i="20"/>
  <c r="E1053" i="20" s="1"/>
  <c r="I427" i="20"/>
  <c r="F339" i="20"/>
  <c r="D340" i="20" s="1"/>
  <c r="E339" i="20"/>
  <c r="D930" i="13" l="1"/>
  <c r="G929" i="13"/>
  <c r="D249" i="20"/>
  <c r="H248" i="20"/>
  <c r="I248" i="20" s="1"/>
  <c r="G248" i="20"/>
  <c r="D161" i="20"/>
  <c r="G160" i="20"/>
  <c r="H160" i="20"/>
  <c r="I160" i="20" s="1"/>
  <c r="D500" i="13"/>
  <c r="G499" i="13"/>
  <c r="D872" i="20"/>
  <c r="H871" i="20"/>
  <c r="I871" i="20" s="1"/>
  <c r="G871" i="20"/>
  <c r="E406" i="13"/>
  <c r="F406" i="13"/>
  <c r="D407" i="13" s="1"/>
  <c r="E694" i="20"/>
  <c r="F694" i="20"/>
  <c r="D695" i="20" s="1"/>
  <c r="G694" i="20"/>
  <c r="H590" i="13"/>
  <c r="I590" i="13"/>
  <c r="J590" i="13" s="1"/>
  <c r="E782" i="20"/>
  <c r="F782" i="20" s="1"/>
  <c r="E753" i="13"/>
  <c r="F753" i="13" s="1"/>
  <c r="H1017" i="13"/>
  <c r="I1017" i="13"/>
  <c r="J1017" i="13" s="1"/>
  <c r="H329" i="13"/>
  <c r="I329" i="13"/>
  <c r="J329" i="13" s="1"/>
  <c r="H156" i="13"/>
  <c r="I156" i="13"/>
  <c r="J156" i="13" s="1"/>
  <c r="H339" i="20"/>
  <c r="F1052" i="20"/>
  <c r="H1103" i="13"/>
  <c r="I1103" i="13"/>
  <c r="J1103" i="13" s="1"/>
  <c r="J1016" i="13"/>
  <c r="J498" i="13"/>
  <c r="J1186" i="13"/>
  <c r="G428" i="20"/>
  <c r="I428" i="20" s="1"/>
  <c r="G959" i="20"/>
  <c r="I959" i="20" s="1"/>
  <c r="E591" i="13"/>
  <c r="E592" i="13" s="1"/>
  <c r="F591" i="13"/>
  <c r="G591" i="13" s="1"/>
  <c r="H1187" i="13"/>
  <c r="I1187" i="13"/>
  <c r="J1187" i="13" s="1"/>
  <c r="I602" i="20"/>
  <c r="F1018" i="13"/>
  <c r="D1019" i="13" s="1"/>
  <c r="E1018" i="13"/>
  <c r="F330" i="13"/>
  <c r="D331" i="13" s="1"/>
  <c r="G330" i="13"/>
  <c r="E330" i="13"/>
  <c r="E157" i="13"/>
  <c r="F157" i="13" s="1"/>
  <c r="E340" i="20"/>
  <c r="E341" i="20" s="1"/>
  <c r="F1227" i="20"/>
  <c r="D1228" i="20" s="1"/>
  <c r="E1227" i="20"/>
  <c r="G1227" i="20"/>
  <c r="H1227" i="20"/>
  <c r="I1227" i="20" s="1"/>
  <c r="H1226" i="20"/>
  <c r="H1104" i="13"/>
  <c r="I1104" i="13"/>
  <c r="J1104" i="13" s="1"/>
  <c r="I1141" i="20"/>
  <c r="I1142" i="20" s="1"/>
  <c r="H1142" i="20"/>
  <c r="E429" i="20"/>
  <c r="E430" i="20" s="1"/>
  <c r="E960" i="20"/>
  <c r="F960" i="20" s="1"/>
  <c r="H693" i="20"/>
  <c r="H839" i="13"/>
  <c r="I839" i="13"/>
  <c r="J839" i="13" s="1"/>
  <c r="E1188" i="13"/>
  <c r="F1188" i="13" s="1"/>
  <c r="H665" i="13"/>
  <c r="I665" i="13"/>
  <c r="H236" i="13"/>
  <c r="I236" i="13"/>
  <c r="J236" i="13" s="1"/>
  <c r="H1274" i="13"/>
  <c r="I1274" i="13"/>
  <c r="G339" i="20"/>
  <c r="G405" i="13"/>
  <c r="G1226" i="20"/>
  <c r="J404" i="13"/>
  <c r="J928" i="13"/>
  <c r="E1105" i="13"/>
  <c r="F1105" i="13" s="1"/>
  <c r="I518" i="20"/>
  <c r="I519" i="20" s="1"/>
  <c r="H519" i="20"/>
  <c r="I159" i="20"/>
  <c r="G693" i="20"/>
  <c r="E840" i="13"/>
  <c r="F840" i="13" s="1"/>
  <c r="I781" i="20"/>
  <c r="H752" i="13"/>
  <c r="I752" i="13"/>
  <c r="J752" i="13" s="1"/>
  <c r="F603" i="20"/>
  <c r="D604" i="20" s="1"/>
  <c r="E603" i="20"/>
  <c r="G603" i="20"/>
  <c r="H603" i="20"/>
  <c r="I603" i="20" s="1"/>
  <c r="E666" i="13"/>
  <c r="F666" i="13"/>
  <c r="D667" i="13" s="1"/>
  <c r="E237" i="13"/>
  <c r="F237" i="13" s="1"/>
  <c r="E1275" i="13"/>
  <c r="F1275" i="13" s="1"/>
  <c r="D1106" i="13" l="1"/>
  <c r="G1105" i="13"/>
  <c r="D1189" i="13"/>
  <c r="G1188" i="13"/>
  <c r="H591" i="13"/>
  <c r="H592" i="13" s="1"/>
  <c r="I591" i="13"/>
  <c r="D754" i="13"/>
  <c r="G753" i="13"/>
  <c r="D1276" i="13"/>
  <c r="G1275" i="13"/>
  <c r="D961" i="20"/>
  <c r="H960" i="20"/>
  <c r="I960" i="20" s="1"/>
  <c r="G960" i="20"/>
  <c r="D158" i="13"/>
  <c r="G157" i="13"/>
  <c r="D238" i="13"/>
  <c r="G237" i="13"/>
  <c r="D841" i="13"/>
  <c r="G840" i="13"/>
  <c r="D783" i="20"/>
  <c r="G782" i="20"/>
  <c r="H782" i="20"/>
  <c r="H405" i="13"/>
  <c r="I405" i="13"/>
  <c r="J405" i="13" s="1"/>
  <c r="H330" i="13"/>
  <c r="I330" i="13"/>
  <c r="E1019" i="13"/>
  <c r="F1019" i="13" s="1"/>
  <c r="E407" i="13"/>
  <c r="F407" i="13" s="1"/>
  <c r="E331" i="13"/>
  <c r="F331" i="13" s="1"/>
  <c r="F695" i="20"/>
  <c r="D696" i="20" s="1"/>
  <c r="E695" i="20"/>
  <c r="G406" i="13"/>
  <c r="F872" i="20"/>
  <c r="D873" i="20" s="1"/>
  <c r="E872" i="20"/>
  <c r="H872" i="20"/>
  <c r="F249" i="20"/>
  <c r="D250" i="20" s="1"/>
  <c r="E249" i="20"/>
  <c r="H249" i="20"/>
  <c r="E667" i="13"/>
  <c r="F667" i="13" s="1"/>
  <c r="G666" i="13"/>
  <c r="I693" i="20"/>
  <c r="F429" i="20"/>
  <c r="F340" i="20"/>
  <c r="G1052" i="20"/>
  <c r="G1053" i="20" s="1"/>
  <c r="H1052" i="20"/>
  <c r="H499" i="13"/>
  <c r="I499" i="13"/>
  <c r="J499" i="13" s="1"/>
  <c r="E161" i="20"/>
  <c r="E162" i="20" s="1"/>
  <c r="H929" i="13"/>
  <c r="I929" i="13"/>
  <c r="E604" i="20"/>
  <c r="F604" i="20" s="1"/>
  <c r="J1274" i="13"/>
  <c r="J665" i="13"/>
  <c r="I1226" i="20"/>
  <c r="E1228" i="20"/>
  <c r="F1228" i="20" s="1"/>
  <c r="G1018" i="13"/>
  <c r="I339" i="20"/>
  <c r="H694" i="20"/>
  <c r="I694" i="20" s="1"/>
  <c r="E500" i="13"/>
  <c r="F500" i="13" s="1"/>
  <c r="E930" i="13"/>
  <c r="F930" i="13"/>
  <c r="D931" i="13" s="1"/>
  <c r="D408" i="13" l="1"/>
  <c r="G407" i="13"/>
  <c r="D501" i="13"/>
  <c r="G500" i="13"/>
  <c r="D668" i="13"/>
  <c r="G667" i="13"/>
  <c r="D1229" i="20"/>
  <c r="G1228" i="20"/>
  <c r="H1228" i="20"/>
  <c r="D605" i="20"/>
  <c r="H604" i="20"/>
  <c r="G604" i="20"/>
  <c r="D1020" i="13"/>
  <c r="G1019" i="13"/>
  <c r="D332" i="13"/>
  <c r="G331" i="13"/>
  <c r="E931" i="13"/>
  <c r="F931" i="13" s="1"/>
  <c r="H666" i="13"/>
  <c r="I666" i="13"/>
  <c r="H753" i="13"/>
  <c r="I753" i="13"/>
  <c r="J753" i="13" s="1"/>
  <c r="G340" i="20"/>
  <c r="G341" i="20" s="1"/>
  <c r="H340" i="20"/>
  <c r="G249" i="20"/>
  <c r="G872" i="20"/>
  <c r="I872" i="20" s="1"/>
  <c r="H695" i="20"/>
  <c r="I695" i="20" s="1"/>
  <c r="H840" i="13"/>
  <c r="I840" i="13"/>
  <c r="J840" i="13" s="1"/>
  <c r="H157" i="13"/>
  <c r="I157" i="13"/>
  <c r="E961" i="20"/>
  <c r="F961" i="20"/>
  <c r="D962" i="20" s="1"/>
  <c r="G961" i="20"/>
  <c r="E754" i="13"/>
  <c r="F754" i="13"/>
  <c r="D755" i="13" s="1"/>
  <c r="E1189" i="13"/>
  <c r="F1189" i="13" s="1"/>
  <c r="I249" i="20"/>
  <c r="H406" i="13"/>
  <c r="I406" i="13"/>
  <c r="E696" i="20"/>
  <c r="E697" i="20" s="1"/>
  <c r="F696" i="20"/>
  <c r="G696" i="20" s="1"/>
  <c r="G697" i="20" s="1"/>
  <c r="E783" i="20"/>
  <c r="F783" i="20"/>
  <c r="D784" i="20" s="1"/>
  <c r="E238" i="13"/>
  <c r="F238" i="13" s="1"/>
  <c r="H1188" i="13"/>
  <c r="I1188" i="13"/>
  <c r="J1188" i="13" s="1"/>
  <c r="H429" i="20"/>
  <c r="G429" i="20"/>
  <c r="G430" i="20" s="1"/>
  <c r="G695" i="20"/>
  <c r="J330" i="13"/>
  <c r="I782" i="20"/>
  <c r="E841" i="13"/>
  <c r="F841" i="13"/>
  <c r="D842" i="13" s="1"/>
  <c r="E158" i="13"/>
  <c r="F158" i="13" s="1"/>
  <c r="H1275" i="13"/>
  <c r="I1275" i="13"/>
  <c r="J1275" i="13" s="1"/>
  <c r="J591" i="13"/>
  <c r="J592" i="13" s="1"/>
  <c r="I592" i="13"/>
  <c r="H1105" i="13"/>
  <c r="I1105" i="13"/>
  <c r="J1105" i="13" s="1"/>
  <c r="G930" i="13"/>
  <c r="H1018" i="13"/>
  <c r="I1018" i="13"/>
  <c r="J1018" i="13" s="1"/>
  <c r="J929" i="13"/>
  <c r="F161" i="20"/>
  <c r="I1052" i="20"/>
  <c r="I1053" i="20" s="1"/>
  <c r="H1053" i="20"/>
  <c r="F250" i="20"/>
  <c r="D251" i="20" s="1"/>
  <c r="E250" i="20"/>
  <c r="E873" i="20"/>
  <c r="F873" i="20" s="1"/>
  <c r="H237" i="13"/>
  <c r="I237" i="13"/>
  <c r="E1276" i="13"/>
  <c r="F1276" i="13"/>
  <c r="D1277" i="13" s="1"/>
  <c r="G1276" i="13"/>
  <c r="E1106" i="13"/>
  <c r="F1106" i="13" s="1"/>
  <c r="D1190" i="13" l="1"/>
  <c r="G1189" i="13"/>
  <c r="D1107" i="13"/>
  <c r="G1106" i="13"/>
  <c r="D239" i="13"/>
  <c r="G238" i="13"/>
  <c r="D874" i="20"/>
  <c r="H873" i="20"/>
  <c r="I873" i="20" s="1"/>
  <c r="G873" i="20"/>
  <c r="D159" i="13"/>
  <c r="G158" i="13"/>
  <c r="D932" i="13"/>
  <c r="G931" i="13"/>
  <c r="E842" i="13"/>
  <c r="F842" i="13"/>
  <c r="D843" i="13" s="1"/>
  <c r="G842" i="13"/>
  <c r="E962" i="20"/>
  <c r="F962" i="20"/>
  <c r="D963" i="20" s="1"/>
  <c r="G962" i="20"/>
  <c r="H962" i="20"/>
  <c r="I962" i="20" s="1"/>
  <c r="E332" i="13"/>
  <c r="F332" i="13"/>
  <c r="D333" i="13" s="1"/>
  <c r="G332" i="13"/>
  <c r="I604" i="20"/>
  <c r="E1229" i="20"/>
  <c r="F1229" i="20"/>
  <c r="D1230" i="20" s="1"/>
  <c r="G1229" i="20"/>
  <c r="H1229" i="20"/>
  <c r="I1229" i="20" s="1"/>
  <c r="E501" i="13"/>
  <c r="F501" i="13"/>
  <c r="D502" i="13" s="1"/>
  <c r="E755" i="13"/>
  <c r="F755" i="13" s="1"/>
  <c r="H331" i="13"/>
  <c r="I331" i="13"/>
  <c r="J331" i="13" s="1"/>
  <c r="E1277" i="13"/>
  <c r="F1277" i="13"/>
  <c r="D1278" i="13" s="1"/>
  <c r="H250" i="20"/>
  <c r="I250" i="20" s="1"/>
  <c r="G250" i="20"/>
  <c r="H783" i="20"/>
  <c r="H696" i="20"/>
  <c r="J406" i="13"/>
  <c r="G754" i="13"/>
  <c r="I340" i="20"/>
  <c r="I341" i="20" s="1"/>
  <c r="H341" i="20"/>
  <c r="H1019" i="13"/>
  <c r="I1019" i="13"/>
  <c r="E605" i="20"/>
  <c r="F605" i="20" s="1"/>
  <c r="H667" i="13"/>
  <c r="I667" i="13"/>
  <c r="H407" i="13"/>
  <c r="I407" i="13"/>
  <c r="H1276" i="13"/>
  <c r="I1276" i="13"/>
  <c r="F251" i="20"/>
  <c r="G251" i="20" s="1"/>
  <c r="G252" i="20" s="1"/>
  <c r="E251" i="20"/>
  <c r="E252" i="20" s="1"/>
  <c r="I429" i="20"/>
  <c r="I430" i="20" s="1"/>
  <c r="H430" i="20"/>
  <c r="E784" i="20"/>
  <c r="F784" i="20" s="1"/>
  <c r="H500" i="13"/>
  <c r="I500" i="13"/>
  <c r="J237" i="13"/>
  <c r="G161" i="20"/>
  <c r="G162" i="20" s="1"/>
  <c r="H161" i="20"/>
  <c r="H930" i="13"/>
  <c r="I930" i="13"/>
  <c r="J930" i="13" s="1"/>
  <c r="G841" i="13"/>
  <c r="G783" i="20"/>
  <c r="H961" i="20"/>
  <c r="I961" i="20" s="1"/>
  <c r="J157" i="13"/>
  <c r="J666" i="13"/>
  <c r="E1020" i="13"/>
  <c r="F1020" i="13"/>
  <c r="D1021" i="13" s="1"/>
  <c r="I1228" i="20"/>
  <c r="E668" i="13"/>
  <c r="F668" i="13"/>
  <c r="D669" i="13" s="1"/>
  <c r="F408" i="13"/>
  <c r="D409" i="13" s="1"/>
  <c r="E408" i="13"/>
  <c r="D756" i="13" l="1"/>
  <c r="G755" i="13"/>
  <c r="D606" i="20"/>
  <c r="H605" i="20"/>
  <c r="I605" i="20" s="1"/>
  <c r="G605" i="20"/>
  <c r="D785" i="20"/>
  <c r="H784" i="20"/>
  <c r="G784" i="20"/>
  <c r="H842" i="13"/>
  <c r="I842" i="13"/>
  <c r="J842" i="13" s="1"/>
  <c r="E932" i="13"/>
  <c r="F932" i="13" s="1"/>
  <c r="H1106" i="13"/>
  <c r="I1106" i="13"/>
  <c r="J1106" i="13" s="1"/>
  <c r="G1020" i="13"/>
  <c r="J500" i="13"/>
  <c r="H251" i="20"/>
  <c r="J1276" i="13"/>
  <c r="J667" i="13"/>
  <c r="I696" i="20"/>
  <c r="I697" i="20" s="1"/>
  <c r="H697" i="20"/>
  <c r="E1278" i="13"/>
  <c r="F1278" i="13"/>
  <c r="D1279" i="13" s="1"/>
  <c r="E502" i="13"/>
  <c r="F502" i="13" s="1"/>
  <c r="H332" i="13"/>
  <c r="I332" i="13"/>
  <c r="J332" i="13" s="1"/>
  <c r="E843" i="13"/>
  <c r="F843" i="13" s="1"/>
  <c r="H158" i="13"/>
  <c r="I158" i="13"/>
  <c r="F874" i="20"/>
  <c r="G874" i="20" s="1"/>
  <c r="G875" i="20" s="1"/>
  <c r="E874" i="20"/>
  <c r="E875" i="20" s="1"/>
  <c r="F1107" i="13"/>
  <c r="G1107" i="13" s="1"/>
  <c r="E1107" i="13"/>
  <c r="E1108" i="13" s="1"/>
  <c r="E1021" i="13"/>
  <c r="E1022" i="13" s="1"/>
  <c r="G408" i="13"/>
  <c r="G668" i="13"/>
  <c r="I161" i="20"/>
  <c r="I162" i="20" s="1"/>
  <c r="H162" i="20"/>
  <c r="I783" i="20"/>
  <c r="G501" i="13"/>
  <c r="F1230" i="20"/>
  <c r="G1230" i="20" s="1"/>
  <c r="G1231" i="20" s="1"/>
  <c r="E1230" i="20"/>
  <c r="E1231" i="20" s="1"/>
  <c r="F333" i="13"/>
  <c r="G333" i="13" s="1"/>
  <c r="E333" i="13"/>
  <c r="E334" i="13" s="1"/>
  <c r="E963" i="20"/>
  <c r="E964" i="20" s="1"/>
  <c r="F963" i="20"/>
  <c r="G963" i="20" s="1"/>
  <c r="G964" i="20" s="1"/>
  <c r="E159" i="13"/>
  <c r="F159" i="13"/>
  <c r="D160" i="13" s="1"/>
  <c r="H238" i="13"/>
  <c r="I238" i="13"/>
  <c r="H1189" i="13"/>
  <c r="I1189" i="13"/>
  <c r="E669" i="13"/>
  <c r="F669" i="13"/>
  <c r="D670" i="13" s="1"/>
  <c r="E409" i="13"/>
  <c r="F409" i="13" s="1"/>
  <c r="H841" i="13"/>
  <c r="I841" i="13"/>
  <c r="J407" i="13"/>
  <c r="J1019" i="13"/>
  <c r="H754" i="13"/>
  <c r="I754" i="13"/>
  <c r="G1277" i="13"/>
  <c r="H931" i="13"/>
  <c r="I931" i="13"/>
  <c r="J931" i="13" s="1"/>
  <c r="E239" i="13"/>
  <c r="F239" i="13" s="1"/>
  <c r="E1190" i="13"/>
  <c r="F1190" i="13" s="1"/>
  <c r="D503" i="13" l="1"/>
  <c r="G502" i="13"/>
  <c r="D933" i="13"/>
  <c r="G932" i="13"/>
  <c r="D240" i="13"/>
  <c r="G239" i="13"/>
  <c r="H1107" i="13"/>
  <c r="H1108" i="13" s="1"/>
  <c r="I1107" i="13"/>
  <c r="D410" i="13"/>
  <c r="G409" i="13"/>
  <c r="H333" i="13"/>
  <c r="H334" i="13" s="1"/>
  <c r="I333" i="13"/>
  <c r="D844" i="13"/>
  <c r="G843" i="13"/>
  <c r="D1191" i="13"/>
  <c r="G1190" i="13"/>
  <c r="E1279" i="13"/>
  <c r="F1279" i="13"/>
  <c r="D1280" i="13" s="1"/>
  <c r="H1020" i="13"/>
  <c r="I1020" i="13"/>
  <c r="J238" i="13"/>
  <c r="H1230" i="20"/>
  <c r="H501" i="13"/>
  <c r="I501" i="13"/>
  <c r="H668" i="13"/>
  <c r="I668" i="13"/>
  <c r="J668" i="13" s="1"/>
  <c r="F1021" i="13"/>
  <c r="G1021" i="13" s="1"/>
  <c r="H874" i="20"/>
  <c r="J158" i="13"/>
  <c r="I784" i="20"/>
  <c r="E606" i="20"/>
  <c r="F606" i="20" s="1"/>
  <c r="H1277" i="13"/>
  <c r="I1277" i="13"/>
  <c r="G669" i="13"/>
  <c r="H963" i="20"/>
  <c r="H408" i="13"/>
  <c r="I408" i="13"/>
  <c r="I251" i="20"/>
  <c r="I252" i="20" s="1"/>
  <c r="H252" i="20"/>
  <c r="F785" i="20"/>
  <c r="G785" i="20" s="1"/>
  <c r="G786" i="20" s="1"/>
  <c r="E785" i="20"/>
  <c r="E786" i="20" s="1"/>
  <c r="H755" i="13"/>
  <c r="I755" i="13"/>
  <c r="E670" i="13"/>
  <c r="F670" i="13"/>
  <c r="D671" i="13" s="1"/>
  <c r="E160" i="13"/>
  <c r="F160" i="13" s="1"/>
  <c r="J754" i="13"/>
  <c r="J841" i="13"/>
  <c r="J1189" i="13"/>
  <c r="G159" i="13"/>
  <c r="G1278" i="13"/>
  <c r="F756" i="13"/>
  <c r="D757" i="13" s="1"/>
  <c r="E756" i="13"/>
  <c r="D607" i="20" l="1"/>
  <c r="G606" i="20"/>
  <c r="H606" i="20"/>
  <c r="I606" i="20" s="1"/>
  <c r="D161" i="13"/>
  <c r="G160" i="13"/>
  <c r="E671" i="13"/>
  <c r="F671" i="13"/>
  <c r="D672" i="13" s="1"/>
  <c r="H1190" i="13"/>
  <c r="I1190" i="13"/>
  <c r="J1190" i="13" s="1"/>
  <c r="J1107" i="13"/>
  <c r="J1108" i="13" s="1"/>
  <c r="I1108" i="13"/>
  <c r="H159" i="13"/>
  <c r="I159" i="13"/>
  <c r="J159" i="13" s="1"/>
  <c r="G670" i="13"/>
  <c r="H785" i="20"/>
  <c r="I963" i="20"/>
  <c r="I964" i="20" s="1"/>
  <c r="H964" i="20"/>
  <c r="I1230" i="20"/>
  <c r="I1231" i="20" s="1"/>
  <c r="H1231" i="20"/>
  <c r="E1280" i="13"/>
  <c r="E1281" i="13" s="1"/>
  <c r="G1191" i="13"/>
  <c r="E1191" i="13"/>
  <c r="F1191" i="13"/>
  <c r="D1192" i="13" s="1"/>
  <c r="E933" i="13"/>
  <c r="F933" i="13" s="1"/>
  <c r="H1021" i="13"/>
  <c r="H1022" i="13" s="1"/>
  <c r="I1021" i="13"/>
  <c r="J333" i="13"/>
  <c r="J334" i="13" s="1"/>
  <c r="I334" i="13"/>
  <c r="H932" i="13"/>
  <c r="I932" i="13"/>
  <c r="J932" i="13" s="1"/>
  <c r="G756" i="13"/>
  <c r="H669" i="13"/>
  <c r="I669" i="13"/>
  <c r="J669" i="13" s="1"/>
  <c r="H843" i="13"/>
  <c r="I843" i="13"/>
  <c r="J843" i="13" s="1"/>
  <c r="H409" i="13"/>
  <c r="I409" i="13"/>
  <c r="J409" i="13" s="1"/>
  <c r="H239" i="13"/>
  <c r="I239" i="13"/>
  <c r="J239" i="13" s="1"/>
  <c r="H502" i="13"/>
  <c r="I502" i="13"/>
  <c r="J502" i="13" s="1"/>
  <c r="H1278" i="13"/>
  <c r="I1278" i="13"/>
  <c r="J1278" i="13" s="1"/>
  <c r="E757" i="13"/>
  <c r="F757" i="13" s="1"/>
  <c r="J755" i="13"/>
  <c r="J408" i="13"/>
  <c r="J1277" i="13"/>
  <c r="I874" i="20"/>
  <c r="I875" i="20" s="1"/>
  <c r="H875" i="20"/>
  <c r="J501" i="13"/>
  <c r="J1020" i="13"/>
  <c r="G1279" i="13"/>
  <c r="F844" i="13"/>
  <c r="D845" i="13" s="1"/>
  <c r="E844" i="13"/>
  <c r="E410" i="13"/>
  <c r="F410" i="13"/>
  <c r="D411" i="13" s="1"/>
  <c r="E240" i="13"/>
  <c r="F240" i="13" s="1"/>
  <c r="E503" i="13"/>
  <c r="F503" i="13"/>
  <c r="D504" i="13" s="1"/>
  <c r="D758" i="13" l="1"/>
  <c r="G757" i="13"/>
  <c r="D934" i="13"/>
  <c r="G933" i="13"/>
  <c r="D241" i="13"/>
  <c r="G240" i="13"/>
  <c r="E845" i="13"/>
  <c r="F845" i="13"/>
  <c r="D846" i="13" s="1"/>
  <c r="E672" i="13"/>
  <c r="F672" i="13"/>
  <c r="D673" i="13" s="1"/>
  <c r="E504" i="13"/>
  <c r="F504" i="13"/>
  <c r="D505" i="13" s="1"/>
  <c r="H1279" i="13"/>
  <c r="I1279" i="13"/>
  <c r="J1021" i="13"/>
  <c r="J1022" i="13" s="1"/>
  <c r="I1022" i="13"/>
  <c r="H670" i="13"/>
  <c r="I670" i="13"/>
  <c r="G671" i="13"/>
  <c r="E411" i="13"/>
  <c r="F411" i="13"/>
  <c r="D412" i="13" s="1"/>
  <c r="H756" i="13"/>
  <c r="I756" i="13"/>
  <c r="J756" i="13" s="1"/>
  <c r="H1191" i="13"/>
  <c r="I1191" i="13"/>
  <c r="I785" i="20"/>
  <c r="I786" i="20" s="1"/>
  <c r="H786" i="20"/>
  <c r="G503" i="13"/>
  <c r="E1192" i="13"/>
  <c r="F1192" i="13"/>
  <c r="D1193" i="13" s="1"/>
  <c r="F161" i="13"/>
  <c r="G161" i="13" s="1"/>
  <c r="E161" i="13"/>
  <c r="E162" i="13" s="1"/>
  <c r="G410" i="13"/>
  <c r="G844" i="13"/>
  <c r="F1280" i="13"/>
  <c r="G1280" i="13" s="1"/>
  <c r="H160" i="13"/>
  <c r="I160" i="13"/>
  <c r="J160" i="13" s="1"/>
  <c r="E607" i="20"/>
  <c r="E608" i="20" s="1"/>
  <c r="H161" i="13" l="1"/>
  <c r="H162" i="13" s="1"/>
  <c r="I161" i="13"/>
  <c r="E412" i="13"/>
  <c r="F412" i="13" s="1"/>
  <c r="E673" i="13"/>
  <c r="F673" i="13"/>
  <c r="D674" i="13" s="1"/>
  <c r="G673" i="13"/>
  <c r="H933" i="13"/>
  <c r="I933" i="13"/>
  <c r="J933" i="13" s="1"/>
  <c r="H410" i="13"/>
  <c r="I410" i="13"/>
  <c r="J410" i="13" s="1"/>
  <c r="E505" i="13"/>
  <c r="E506" i="13" s="1"/>
  <c r="E934" i="13"/>
  <c r="F934" i="13" s="1"/>
  <c r="H844" i="13"/>
  <c r="I844" i="13"/>
  <c r="J844" i="13" s="1"/>
  <c r="H503" i="13"/>
  <c r="I503" i="13"/>
  <c r="J503" i="13" s="1"/>
  <c r="H671" i="13"/>
  <c r="I671" i="13"/>
  <c r="J671" i="13" s="1"/>
  <c r="G504" i="13"/>
  <c r="G672" i="13"/>
  <c r="H240" i="13"/>
  <c r="I240" i="13"/>
  <c r="J240" i="13" s="1"/>
  <c r="H757" i="13"/>
  <c r="I757" i="13"/>
  <c r="J757" i="13" s="1"/>
  <c r="E846" i="13"/>
  <c r="F846" i="13" s="1"/>
  <c r="E1193" i="13"/>
  <c r="E1194" i="13" s="1"/>
  <c r="G1192" i="13"/>
  <c r="F607" i="20"/>
  <c r="H1280" i="13"/>
  <c r="H1281" i="13" s="1"/>
  <c r="I1280" i="13"/>
  <c r="J1191" i="13"/>
  <c r="G411" i="13"/>
  <c r="J670" i="13"/>
  <c r="J1279" i="13"/>
  <c r="G845" i="13"/>
  <c r="E241" i="13"/>
  <c r="F241" i="13" s="1"/>
  <c r="E758" i="13"/>
  <c r="F758" i="13"/>
  <c r="D759" i="13" s="1"/>
  <c r="D935" i="13" l="1"/>
  <c r="G934" i="13"/>
  <c r="D413" i="13"/>
  <c r="G412" i="13"/>
  <c r="D242" i="13"/>
  <c r="G241" i="13"/>
  <c r="D847" i="13"/>
  <c r="G846" i="13"/>
  <c r="G758" i="13"/>
  <c r="F1193" i="13"/>
  <c r="G1193" i="13" s="1"/>
  <c r="F674" i="13"/>
  <c r="D675" i="13" s="1"/>
  <c r="G674" i="13"/>
  <c r="E674" i="13"/>
  <c r="J1280" i="13"/>
  <c r="J1281" i="13" s="1"/>
  <c r="I1281" i="13"/>
  <c r="H673" i="13"/>
  <c r="I673" i="13"/>
  <c r="E759" i="13"/>
  <c r="F759" i="13"/>
  <c r="D760" i="13" s="1"/>
  <c r="H411" i="13"/>
  <c r="I411" i="13"/>
  <c r="J411" i="13" s="1"/>
  <c r="G607" i="20"/>
  <c r="G608" i="20" s="1"/>
  <c r="H607" i="20"/>
  <c r="H672" i="13"/>
  <c r="I672" i="13"/>
  <c r="J672" i="13" s="1"/>
  <c r="J161" i="13"/>
  <c r="J162" i="13" s="1"/>
  <c r="I162" i="13"/>
  <c r="H845" i="13"/>
  <c r="I845" i="13"/>
  <c r="J845" i="13" s="1"/>
  <c r="H1192" i="13"/>
  <c r="I1192" i="13"/>
  <c r="J1192" i="13" s="1"/>
  <c r="H504" i="13"/>
  <c r="I504" i="13"/>
  <c r="J504" i="13" s="1"/>
  <c r="F505" i="13"/>
  <c r="G505" i="13" s="1"/>
  <c r="E760" i="13" l="1"/>
  <c r="F760" i="13"/>
  <c r="D761" i="13" s="1"/>
  <c r="H505" i="13"/>
  <c r="H506" i="13" s="1"/>
  <c r="I505" i="13"/>
  <c r="E675" i="13"/>
  <c r="F675" i="13" s="1"/>
  <c r="E847" i="13"/>
  <c r="F847" i="13"/>
  <c r="D848" i="13" s="1"/>
  <c r="G847" i="13"/>
  <c r="E413" i="13"/>
  <c r="F413" i="13" s="1"/>
  <c r="I607" i="20"/>
  <c r="I608" i="20" s="1"/>
  <c r="H608" i="20"/>
  <c r="H674" i="13"/>
  <c r="I674" i="13"/>
  <c r="J674" i="13" s="1"/>
  <c r="H846" i="13"/>
  <c r="I846" i="13"/>
  <c r="J846" i="13" s="1"/>
  <c r="G759" i="13"/>
  <c r="H1193" i="13"/>
  <c r="H1194" i="13" s="1"/>
  <c r="I1193" i="13"/>
  <c r="H241" i="13"/>
  <c r="I241" i="13"/>
  <c r="H934" i="13"/>
  <c r="I934" i="13"/>
  <c r="J934" i="13" s="1"/>
  <c r="H412" i="13"/>
  <c r="I412" i="13"/>
  <c r="J673" i="13"/>
  <c r="H758" i="13"/>
  <c r="I758" i="13"/>
  <c r="J758" i="13" s="1"/>
  <c r="E242" i="13"/>
  <c r="F242" i="13"/>
  <c r="D243" i="13" s="1"/>
  <c r="E935" i="13"/>
  <c r="E936" i="13" s="1"/>
  <c r="D414" i="13" l="1"/>
  <c r="G413" i="13"/>
  <c r="D676" i="13"/>
  <c r="G675" i="13"/>
  <c r="H847" i="13"/>
  <c r="I847" i="13"/>
  <c r="J847" i="13" s="1"/>
  <c r="E761" i="13"/>
  <c r="F761" i="13" s="1"/>
  <c r="E848" i="13"/>
  <c r="F848" i="13" s="1"/>
  <c r="G760" i="13"/>
  <c r="E243" i="13"/>
  <c r="F243" i="13"/>
  <c r="D244" i="13" s="1"/>
  <c r="J1193" i="13"/>
  <c r="J1194" i="13" s="1"/>
  <c r="I1194" i="13"/>
  <c r="F935" i="13"/>
  <c r="G935" i="13" s="1"/>
  <c r="G242" i="13"/>
  <c r="J412" i="13"/>
  <c r="J241" i="13"/>
  <c r="H759" i="13"/>
  <c r="I759" i="13"/>
  <c r="J759" i="13" s="1"/>
  <c r="J505" i="13"/>
  <c r="J506" i="13" s="1"/>
  <c r="I506" i="13"/>
  <c r="D762" i="13" l="1"/>
  <c r="G761" i="13"/>
  <c r="D849" i="13"/>
  <c r="G848" i="13"/>
  <c r="H242" i="13"/>
  <c r="I242" i="13"/>
  <c r="J242" i="13" s="1"/>
  <c r="E676" i="13"/>
  <c r="F676" i="13" s="1"/>
  <c r="G243" i="13"/>
  <c r="H413" i="13"/>
  <c r="I413" i="13"/>
  <c r="J413" i="13" s="1"/>
  <c r="E244" i="13"/>
  <c r="F244" i="13"/>
  <c r="D245" i="13" s="1"/>
  <c r="H675" i="13"/>
  <c r="I675" i="13"/>
  <c r="H935" i="13"/>
  <c r="H936" i="13" s="1"/>
  <c r="I935" i="13"/>
  <c r="H760" i="13"/>
  <c r="I760" i="13"/>
  <c r="E414" i="13"/>
  <c r="F414" i="13"/>
  <c r="D415" i="13" s="1"/>
  <c r="D677" i="13" l="1"/>
  <c r="G676" i="13"/>
  <c r="E245" i="13"/>
  <c r="F245" i="13" s="1"/>
  <c r="E849" i="13"/>
  <c r="E850" i="13" s="1"/>
  <c r="F849" i="13"/>
  <c r="G849" i="13" s="1"/>
  <c r="H243" i="13"/>
  <c r="I243" i="13"/>
  <c r="J243" i="13" s="1"/>
  <c r="H761" i="13"/>
  <c r="I761" i="13"/>
  <c r="J761" i="13" s="1"/>
  <c r="E415" i="13"/>
  <c r="F415" i="13"/>
  <c r="D416" i="13" s="1"/>
  <c r="H848" i="13"/>
  <c r="I848" i="13"/>
  <c r="G414" i="13"/>
  <c r="J935" i="13"/>
  <c r="J936" i="13" s="1"/>
  <c r="I936" i="13"/>
  <c r="J760" i="13"/>
  <c r="J675" i="13"/>
  <c r="G244" i="13"/>
  <c r="E762" i="13"/>
  <c r="F762" i="13" s="1"/>
  <c r="D763" i="13" l="1"/>
  <c r="G762" i="13"/>
  <c r="D246" i="13"/>
  <c r="G245" i="13"/>
  <c r="H849" i="13"/>
  <c r="H850" i="13" s="1"/>
  <c r="I849" i="13"/>
  <c r="H676" i="13"/>
  <c r="I676" i="13"/>
  <c r="J676" i="13" s="1"/>
  <c r="H244" i="13"/>
  <c r="I244" i="13"/>
  <c r="E416" i="13"/>
  <c r="F416" i="13"/>
  <c r="D417" i="13" s="1"/>
  <c r="H414" i="13"/>
  <c r="I414" i="13"/>
  <c r="J414" i="13" s="1"/>
  <c r="J848" i="13"/>
  <c r="G415" i="13"/>
  <c r="E677" i="13"/>
  <c r="E678" i="13" s="1"/>
  <c r="E417" i="13" l="1"/>
  <c r="F417" i="13" s="1"/>
  <c r="H245" i="13"/>
  <c r="I245" i="13"/>
  <c r="E246" i="13"/>
  <c r="F246" i="13"/>
  <c r="D247" i="13" s="1"/>
  <c r="F677" i="13"/>
  <c r="G677" i="13" s="1"/>
  <c r="J244" i="13"/>
  <c r="J849" i="13"/>
  <c r="J850" i="13" s="1"/>
  <c r="I850" i="13"/>
  <c r="H762" i="13"/>
  <c r="I762" i="13"/>
  <c r="J762" i="13" s="1"/>
  <c r="H415" i="13"/>
  <c r="I415" i="13"/>
  <c r="J415" i="13" s="1"/>
  <c r="G416" i="13"/>
  <c r="E763" i="13"/>
  <c r="E764" i="13" s="1"/>
  <c r="D418" i="13" l="1"/>
  <c r="G417" i="13"/>
  <c r="E247" i="13"/>
  <c r="E248" i="13" s="1"/>
  <c r="F763" i="13"/>
  <c r="G763" i="13" s="1"/>
  <c r="G246" i="13"/>
  <c r="H416" i="13"/>
  <c r="I416" i="13"/>
  <c r="H677" i="13"/>
  <c r="H678" i="13" s="1"/>
  <c r="I677" i="13"/>
  <c r="J245" i="13"/>
  <c r="J677" i="13" l="1"/>
  <c r="J678" i="13" s="1"/>
  <c r="I678" i="13"/>
  <c r="H246" i="13"/>
  <c r="I246" i="13"/>
  <c r="J246" i="13" s="1"/>
  <c r="H763" i="13"/>
  <c r="H764" i="13" s="1"/>
  <c r="I763" i="13"/>
  <c r="H417" i="13"/>
  <c r="I417" i="13"/>
  <c r="J417" i="13" s="1"/>
  <c r="J416" i="13"/>
  <c r="F247" i="13"/>
  <c r="G247" i="13" s="1"/>
  <c r="E418" i="13"/>
  <c r="F418" i="13"/>
  <c r="D419" i="13" s="1"/>
  <c r="G418" i="13" l="1"/>
  <c r="H247" i="13"/>
  <c r="H248" i="13" s="1"/>
  <c r="I247" i="13"/>
  <c r="J763" i="13"/>
  <c r="J764" i="13" s="1"/>
  <c r="I764" i="13"/>
  <c r="E419" i="13"/>
  <c r="E420" i="13" s="1"/>
  <c r="F419" i="13" l="1"/>
  <c r="G419" i="13" s="1"/>
  <c r="J247" i="13"/>
  <c r="J248" i="13" s="1"/>
  <c r="I248" i="13"/>
  <c r="H418" i="13"/>
  <c r="I418" i="13"/>
  <c r="J418" i="13" l="1"/>
  <c r="H419" i="13"/>
  <c r="H420" i="13" s="1"/>
  <c r="I419" i="13"/>
  <c r="J419" i="13" l="1"/>
  <c r="J420" i="13" s="1"/>
  <c r="I420" i="13"/>
</calcChain>
</file>

<file path=xl/sharedStrings.xml><?xml version="1.0" encoding="utf-8"?>
<sst xmlns="http://schemas.openxmlformats.org/spreadsheetml/2006/main" count="3672" uniqueCount="1339">
  <si>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</si>
  <si>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</si>
  <si>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</si>
  <si>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</si>
  <si>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</si>
  <si>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</si>
  <si>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</si>
  <si>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</si>
  <si>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</si>
  <si>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</si>
  <si>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</si>
  <si>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</si>
  <si>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</si>
  <si>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</si>
  <si>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</si>
  <si>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</si>
  <si>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</si>
  <si>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</si>
  <si>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</si>
  <si>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</si>
  <si>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</si>
  <si>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</si>
  <si>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</si>
  <si>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</si>
  <si>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</si>
  <si>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</si>
  <si>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</si>
  <si>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</si>
  <si>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</si>
  <si>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</si>
  <si>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</si>
  <si>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</si>
  <si>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</si>
  <si>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</si>
  <si>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</si>
  <si>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</si>
  <si>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</si>
  <si>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</si>
  <si>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</si>
  <si>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</si>
  <si>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</si>
  <si>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</si>
  <si>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</si>
  <si>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</si>
  <si>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</si>
  <si>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</si>
  <si>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</si>
  <si>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</si>
  <si>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</si>
  <si>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</si>
  <si>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</si>
  <si>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</si>
  <si>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</si>
  <si>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</si>
  <si>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</si>
  <si>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</si>
  <si>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</si>
  <si>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</si>
  <si>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</si>
  <si>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</si>
  <si>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</si>
  <si>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</si>
  <si>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</si>
  <si>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</si>
  <si>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</si>
  <si>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</si>
  <si>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</si>
  <si>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</si>
  <si>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</si>
  <si>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</si>
  <si>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</si>
  <si>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</si>
  <si>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</si>
  <si>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</si>
  <si>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</si>
  <si>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</si>
  <si>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</si>
  <si>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</si>
  <si>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</si>
  <si>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</si>
  <si>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</si>
  <si>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</si>
  <si>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</si>
  <si>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</si>
  <si>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</si>
  <si>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</si>
  <si>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</si>
  <si>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</si>
  <si>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</si>
  <si>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</si>
  <si>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</si>
  <si>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</si>
  <si>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</si>
  <si>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</si>
  <si>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</si>
  <si>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</si>
  <si>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</si>
  <si>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</si>
  <si>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</si>
  <si>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</si>
  <si>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</si>
  <si>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</si>
  <si>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</si>
  <si>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</si>
  <si>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</si>
  <si>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</si>
  <si>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</si>
  <si>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</si>
  <si>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</si>
  <si>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</si>
  <si>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</si>
  <si>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</si>
  <si>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</si>
  <si>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</si>
  <si>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</si>
  <si>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</si>
  <si>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</si>
  <si>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</si>
  <si>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</si>
  <si>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</si>
  <si>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</si>
  <si>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</si>
  <si>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</si>
  <si>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</si>
  <si>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</si>
  <si>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</si>
  <si>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</si>
  <si>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</si>
  <si>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</si>
  <si>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</si>
  <si>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</si>
  <si>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</si>
  <si>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</si>
  <si>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</si>
  <si>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</si>
  <si>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</si>
  <si>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</si>
  <si>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</si>
  <si>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</si>
  <si>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</si>
  <si>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</si>
  <si>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</si>
  <si>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</si>
  <si>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</si>
  <si>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</si>
  <si>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</si>
  <si>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</si>
  <si>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</si>
  <si>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</si>
  <si>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</si>
  <si>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</si>
  <si>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</si>
  <si>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</si>
  <si>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</si>
  <si>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</si>
  <si>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</si>
  <si>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</si>
  <si>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</si>
  <si>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</si>
  <si>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</si>
  <si>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</si>
  <si>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</si>
  <si>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</si>
  <si>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</si>
  <si>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</si>
  <si>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</si>
  <si>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</si>
  <si>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</si>
  <si>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</si>
  <si>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</si>
  <si>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</si>
  <si>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</si>
  <si>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</si>
  <si>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</si>
  <si>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</si>
  <si>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</si>
  <si>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</si>
  <si>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</si>
  <si>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</si>
  <si>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</si>
  <si>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</si>
  <si>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</si>
  <si>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</si>
  <si>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</si>
  <si>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</si>
  <si>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</si>
  <si>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</si>
  <si>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</si>
  <si>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</si>
  <si>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</si>
  <si>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</si>
  <si>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</si>
  <si>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</si>
  <si>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</si>
  <si>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</si>
  <si>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</si>
  <si>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</si>
  <si>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</si>
  <si>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</si>
  <si>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</si>
  <si>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</si>
  <si>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</si>
  <si>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</si>
  <si>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</si>
  <si>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</si>
  <si>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</si>
  <si>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</si>
  <si>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</si>
  <si>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</si>
  <si>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</si>
  <si>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</si>
  <si>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</si>
  <si>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</si>
  <si>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</si>
  <si>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</si>
  <si>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</si>
  <si>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</si>
  <si>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</si>
  <si>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</si>
  <si>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</si>
  <si>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</si>
  <si>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</si>
  <si>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</si>
  <si>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</si>
  <si>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</si>
  <si>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</si>
  <si>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</si>
  <si>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</si>
  <si>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</si>
  <si>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</si>
  <si>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</si>
  <si>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</si>
  <si>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</si>
  <si>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</si>
  <si>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</si>
  <si>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</si>
  <si>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</si>
  <si>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</si>
  <si>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</si>
  <si>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</si>
  <si>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</si>
  <si>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</si>
  <si>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</si>
  <si>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</si>
  <si>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</si>
  <si>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</si>
  <si>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</si>
  <si>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</si>
  <si>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</si>
  <si>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</si>
  <si>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</si>
  <si>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</si>
  <si>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</si>
  <si>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</si>
  <si>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</si>
  <si>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</si>
  <si>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</si>
  <si>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</si>
  <si>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</si>
  <si>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</si>
  <si>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</si>
  <si>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</si>
  <si>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</si>
  <si>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</si>
  <si>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</si>
  <si>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</si>
  <si>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</si>
  <si>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</si>
  <si>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</si>
  <si>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</si>
  <si>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</si>
  <si>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</si>
  <si>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</si>
  <si>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</si>
  <si>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</si>
  <si>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</si>
  <si>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</si>
  <si>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</si>
  <si>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</si>
  <si>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</si>
  <si>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</si>
  <si>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</si>
  <si>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</si>
  <si>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</si>
  <si>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</si>
  <si>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</si>
  <si>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</si>
  <si>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</si>
  <si>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</si>
  <si>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</si>
  <si>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</si>
  <si>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</si>
  <si>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</si>
  <si>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</si>
  <si>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</si>
  <si>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</si>
  <si>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</si>
  <si>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</si>
  <si>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</si>
  <si>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</si>
  <si>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</si>
  <si>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</si>
  <si>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</si>
  <si>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</si>
  <si>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</si>
  <si>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</si>
  <si>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</si>
  <si>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</si>
  <si>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</si>
  <si>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</si>
  <si>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</si>
  <si>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</si>
  <si>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</si>
  <si>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</si>
  <si>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</si>
  <si>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</si>
  <si>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</si>
  <si>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</si>
  <si>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</si>
  <si>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</si>
  <si>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</si>
  <si>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</si>
  <si>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</si>
  <si>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</si>
  <si>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</si>
  <si>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</si>
  <si>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</si>
  <si>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</si>
  <si>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</si>
  <si>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</si>
  <si>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</si>
  <si>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</si>
  <si>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</si>
  <si>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</si>
  <si>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</si>
  <si>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</si>
  <si>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</si>
  <si>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</si>
  <si>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</si>
  <si>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</si>
  <si>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</si>
  <si>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</si>
  <si>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</si>
  <si>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</si>
  <si>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</si>
  <si>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</si>
  <si>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</si>
  <si>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</si>
  <si>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</si>
  <si>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</si>
  <si>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</si>
  <si>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</si>
  <si>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</si>
  <si>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</si>
  <si>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</si>
  <si>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</si>
  <si>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</si>
  <si>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</si>
  <si>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</si>
  <si>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</si>
  <si>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</si>
  <si>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</si>
  <si>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</si>
  <si>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</si>
  <si>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</si>
  <si>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</si>
  <si>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</si>
  <si>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</si>
  <si>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</si>
  <si>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</si>
  <si>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</si>
  <si>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</si>
  <si>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</si>
  <si>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</si>
  <si>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</si>
  <si>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</si>
  <si>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</si>
  <si>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</si>
  <si>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</si>
  <si>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</si>
  <si>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</si>
  <si>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</si>
  <si>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</si>
  <si>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</si>
  <si>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</si>
  <si>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</si>
  <si>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</si>
  <si>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</si>
  <si>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</si>
  <si>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</si>
  <si>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</si>
  <si>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</si>
  <si>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</si>
  <si>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</si>
  <si>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</si>
  <si>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</si>
  <si>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</si>
  <si>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</si>
  <si>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</si>
  <si>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</si>
  <si>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</si>
  <si>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</si>
  <si>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</si>
  <si>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</si>
  <si>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</si>
  <si>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</si>
  <si>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</si>
  <si>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</si>
  <si>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</si>
  <si>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</si>
  <si>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</si>
  <si>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</si>
  <si>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</si>
  <si>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</si>
  <si>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</si>
  <si>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</si>
  <si>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</si>
  <si>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</si>
  <si>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</si>
  <si>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</si>
  <si>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</si>
  <si>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</si>
  <si>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</si>
  <si>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</si>
  <si>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</si>
  <si>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</si>
  <si>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</si>
  <si>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</si>
  <si>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</si>
  <si>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</si>
  <si>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</si>
  <si>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</si>
  <si>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</si>
  <si>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</si>
  <si>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</si>
  <si>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</si>
  <si>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</si>
  <si>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</si>
  <si>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</si>
  <si>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</si>
  <si>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</si>
  <si>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</si>
  <si>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</si>
  <si>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</si>
  <si>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</si>
  <si>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</si>
  <si>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</si>
  <si>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</si>
  <si>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</si>
  <si>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</si>
  <si>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</si>
  <si>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</si>
  <si>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</si>
  <si>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</si>
  <si>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</si>
  <si>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</si>
  <si>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</si>
  <si>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</si>
  <si>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</si>
  <si>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</si>
  <si>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</si>
  <si>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</si>
  <si>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</si>
  <si>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</si>
  <si>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</si>
  <si>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</si>
  <si>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</si>
  <si>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</si>
  <si>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</si>
  <si>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</si>
  <si>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</si>
  <si>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</si>
  <si>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</si>
  <si>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</si>
  <si>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</si>
  <si>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</si>
  <si>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</si>
  <si>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</si>
  <si>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</si>
  <si>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</si>
  <si>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</si>
  <si>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</si>
  <si>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</si>
  <si>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</si>
  <si>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</si>
  <si>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</si>
  <si>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</si>
  <si>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</si>
  <si>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</si>
  <si>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</si>
  <si>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</si>
  <si>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</si>
  <si>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</si>
  <si>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</si>
  <si>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</si>
  <si>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</si>
  <si>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</si>
  <si>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</si>
  <si>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</si>
  <si>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</si>
  <si>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</si>
  <si>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</si>
  <si>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</si>
  <si>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</si>
  <si>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</si>
  <si>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</si>
  <si>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</si>
  <si>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</si>
  <si>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</si>
  <si>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</si>
  <si>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</si>
  <si>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</si>
  <si>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</si>
  <si>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</si>
  <si>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</si>
  <si>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</si>
  <si>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</si>
  <si>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</si>
  <si>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</si>
  <si>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</si>
  <si>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</si>
  <si>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</si>
  <si>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</si>
  <si>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</si>
  <si>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</si>
  <si>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</si>
  <si>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</si>
  <si>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</si>
  <si>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</si>
  <si>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</si>
  <si>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</si>
  <si>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</si>
  <si>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</si>
  <si>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</si>
  <si>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</si>
  <si>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</si>
  <si>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</si>
  <si>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</si>
  <si>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</si>
  <si>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</si>
  <si>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</si>
  <si>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</si>
  <si>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</si>
  <si>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</si>
  <si>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</si>
  <si>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</si>
  <si>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</si>
  <si>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</si>
  <si>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</si>
  <si>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</si>
  <si>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</si>
  <si>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</si>
  <si>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</si>
  <si>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</si>
  <si>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</si>
  <si>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</si>
  <si>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</si>
  <si>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</si>
  <si>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</si>
  <si>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</si>
  <si>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</si>
  <si>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</si>
  <si>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</si>
  <si>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</si>
  <si>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</si>
  <si>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</si>
  <si>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</si>
  <si>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</si>
  <si>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</si>
  <si>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</si>
  <si>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</si>
  <si>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</si>
  <si>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</si>
  <si>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</si>
  <si>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</si>
  <si>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</si>
  <si>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</si>
  <si>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</si>
  <si>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</si>
  <si>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</si>
  <si>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</si>
  <si>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</si>
  <si>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</si>
  <si>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</si>
  <si>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</si>
  <si>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</si>
  <si>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</si>
  <si>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</si>
  <si>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</si>
  <si>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</si>
  <si>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</si>
  <si>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</si>
  <si>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</si>
  <si>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</si>
  <si>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</si>
  <si>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</si>
  <si>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Prepaid Lease </t>
  </si>
  <si>
    <t>Real and Personal Property - Tennessee</t>
  </si>
  <si>
    <t>Less: Net Value  Exempted Generation Plant</t>
  </si>
  <si>
    <t>Taxable Property Basis</t>
  </si>
  <si>
    <t>Real and Personal Property - West Virginia</t>
  </si>
  <si>
    <t>Real and Personal Property - Virginia</t>
  </si>
  <si>
    <t xml:space="preserve">**  This is the total amount that needs to be reported to PJM for billing to all regions. </t>
  </si>
  <si>
    <t>## This is the calculation of  additional incentive revenue on projects deemed by the FERC to be eligible for an incentive return.  This</t>
  </si>
  <si>
    <t>EFFECTIVE AS OF 6/1/2015</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</si>
  <si>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</si>
  <si>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</si>
  <si>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</si>
  <si>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</si>
  <si>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</si>
  <si>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</si>
  <si>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</si>
  <si>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</si>
  <si>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</si>
  <si>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</si>
  <si>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</si>
  <si>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</si>
  <si>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</si>
  <si>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</si>
  <si>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</si>
  <si>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</si>
  <si>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</si>
  <si>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</si>
  <si>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</si>
  <si>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</si>
  <si>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</si>
  <si>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</si>
  <si>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</si>
  <si>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</si>
  <si>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</si>
  <si>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</si>
  <si>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</si>
  <si>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</si>
  <si>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</si>
  <si>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</si>
  <si>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</si>
  <si>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</si>
  <si>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</si>
  <si>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</si>
  <si>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</si>
  <si>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</si>
  <si>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</si>
  <si>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</si>
  <si>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</si>
  <si>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</si>
  <si>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</si>
  <si>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</si>
  <si>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</si>
  <si>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</si>
  <si>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</si>
  <si>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</si>
  <si>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</si>
  <si>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</si>
  <si>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</si>
  <si>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</si>
  <si>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</si>
  <si>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</si>
  <si>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</si>
  <si>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</si>
  <si>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</si>
  <si>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</si>
  <si>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</si>
  <si>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</si>
  <si>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</si>
  <si>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</si>
  <si>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</si>
  <si>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</si>
  <si>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</si>
  <si>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</si>
  <si>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</si>
  <si>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</si>
  <si>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</si>
  <si>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</si>
  <si>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</si>
  <si>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</si>
  <si>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</si>
  <si>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</si>
  <si>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</si>
  <si>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</si>
  <si>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</si>
  <si>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</si>
  <si>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</si>
  <si>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</si>
  <si>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</si>
  <si>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</si>
  <si>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</si>
  <si>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</si>
  <si>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</si>
  <si>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</si>
  <si>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</si>
  <si>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</si>
  <si>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</si>
  <si>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</si>
  <si>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</si>
  <si>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</si>
  <si>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</si>
  <si>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</si>
  <si>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</si>
  <si>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</si>
  <si>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</si>
  <si>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</si>
  <si>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</si>
  <si>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</si>
  <si>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</si>
  <si>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</si>
  <si>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</si>
  <si>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</si>
  <si>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</si>
  <si>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</si>
  <si>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</si>
  <si>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</si>
  <si>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</si>
  <si>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</si>
  <si>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</si>
  <si>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</si>
  <si>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</si>
  <si>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</si>
  <si>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</si>
  <si>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</si>
  <si>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</si>
  <si>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</si>
  <si>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</si>
  <si>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</si>
  <si>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</si>
  <si>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</si>
  <si>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</si>
  <si>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</si>
  <si>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</si>
  <si>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</si>
  <si>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</si>
  <si>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</si>
  <si>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</si>
  <si>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</si>
  <si>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</si>
  <si>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</si>
  <si>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</si>
  <si>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</si>
  <si>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</si>
  <si>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</si>
  <si>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</si>
  <si>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</si>
  <si>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</si>
  <si>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</si>
  <si>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</si>
  <si>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</si>
  <si>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</si>
  <si>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</si>
  <si>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</si>
  <si>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</si>
  <si>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</si>
  <si>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</si>
  <si>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</si>
  <si>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</si>
  <si>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</si>
  <si>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</si>
  <si>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</si>
  <si>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</si>
  <si>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</si>
  <si>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</si>
  <si>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</si>
  <si>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</si>
  <si>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</si>
  <si>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</si>
  <si>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</si>
  <si>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</si>
  <si>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</si>
  <si>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</si>
  <si>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</si>
  <si>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</si>
  <si>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</si>
  <si>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</si>
  <si>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</si>
  <si>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</si>
  <si>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</si>
  <si>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</si>
  <si>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</si>
  <si>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</si>
  <si>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</si>
  <si>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</si>
  <si>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</si>
  <si>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</si>
  <si>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</si>
  <si>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</si>
  <si>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</si>
  <si>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</si>
  <si>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</si>
  <si>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</si>
  <si>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</si>
  <si>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</si>
  <si>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</si>
  <si>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</si>
  <si>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</si>
  <si>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</si>
  <si>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</si>
  <si>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</si>
  <si>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</si>
  <si>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</si>
  <si>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</si>
  <si>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</si>
  <si>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</si>
  <si>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</si>
  <si>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</si>
  <si>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</si>
  <si>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</si>
  <si>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</si>
  <si>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</si>
  <si>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</si>
  <si>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</si>
  <si>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</si>
  <si>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</si>
  <si>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</si>
  <si>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</si>
  <si>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</si>
  <si>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</si>
  <si>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</si>
  <si>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</si>
  <si>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</si>
  <si>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</si>
  <si>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</si>
  <si>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</si>
  <si>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</si>
  <si>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</si>
  <si>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EFFECTIVE AS OF 06/1/2015</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</si>
  <si>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</si>
  <si>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</si>
  <si>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</si>
  <si>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</si>
  <si>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</si>
  <si>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</si>
  <si>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</si>
  <si>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</si>
  <si>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</si>
  <si>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</si>
  <si>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</si>
  <si>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</si>
  <si>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</si>
  <si>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</si>
  <si>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</si>
  <si>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</si>
  <si>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</si>
  <si>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</si>
  <si>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</si>
  <si>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</si>
  <si>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</si>
  <si>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</si>
  <si>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</si>
  <si>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</si>
  <si>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</si>
  <si>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</si>
  <si>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</si>
  <si>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</si>
  <si>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</si>
  <si>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</si>
  <si>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</si>
  <si>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</si>
  <si>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</si>
  <si>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</si>
  <si>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</si>
  <si>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</si>
  <si>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</si>
  <si>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</si>
  <si>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</si>
  <si>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</si>
  <si>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</si>
  <si>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</si>
  <si>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</si>
  <si>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</si>
  <si>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</si>
  <si>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</si>
  <si>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</si>
  <si>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</si>
  <si>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</si>
  <si>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</si>
  <si>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</si>
  <si>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</si>
  <si>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</si>
  <si>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</si>
  <si>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</si>
  <si>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</si>
  <si>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</si>
  <si>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</si>
  <si>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</si>
  <si>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</si>
  <si>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Appalachian Power Company</t>
  </si>
  <si>
    <t>Accum Prv I/D Worker's Com</t>
  </si>
  <si>
    <t>1650001</t>
  </si>
  <si>
    <t>Prepaid Insurance</t>
  </si>
  <si>
    <t>Prepaid Taxes</t>
  </si>
  <si>
    <t>1650004</t>
  </si>
  <si>
    <t>Prepaid Interest</t>
  </si>
  <si>
    <t>1650005</t>
  </si>
  <si>
    <t>Prepaid Employee Benefits</t>
  </si>
  <si>
    <t>1650006</t>
  </si>
  <si>
    <t>Other Prepayments</t>
  </si>
  <si>
    <t>1650009</t>
  </si>
  <si>
    <t>Prepaid Carry Cost-Factored AR</t>
  </si>
  <si>
    <t>1650010</t>
  </si>
  <si>
    <t>Prepaid Pension Benefits</t>
  </si>
  <si>
    <t>Prepaid Sales Taxes</t>
  </si>
  <si>
    <t>Prepaid Use Taxes</t>
  </si>
  <si>
    <t>1650014</t>
  </si>
  <si>
    <t>FAS 158 Qual Contra Asset</t>
  </si>
  <si>
    <t>1650016</t>
  </si>
  <si>
    <t>FAS 112 ASSETS</t>
  </si>
  <si>
    <t>1650021</t>
  </si>
  <si>
    <t>Prepaid Insurance - EIS</t>
  </si>
  <si>
    <t>1650023</t>
  </si>
  <si>
    <t>Prepaid Lease</t>
  </si>
  <si>
    <t>1650031</t>
  </si>
  <si>
    <t>Prepaid OCIP Work Comp</t>
  </si>
  <si>
    <t>1650032</t>
  </si>
  <si>
    <t>Prepaid OCIP Work Comp LT</t>
  </si>
  <si>
    <t>1650033</t>
  </si>
  <si>
    <t>Prepaid OCIP Work Comp - Aff</t>
  </si>
  <si>
    <t>1650034</t>
  </si>
  <si>
    <t>PPD OCIP Work Comp LT - Aff</t>
  </si>
  <si>
    <t>1650035</t>
  </si>
  <si>
    <t>PRW Without MED-D Benefits</t>
  </si>
  <si>
    <t>1650036</t>
  </si>
  <si>
    <t>PRW for Med-D Benefits</t>
  </si>
  <si>
    <t>1650037</t>
  </si>
  <si>
    <t>FAS158 Contra-PRW Exclud Med-D</t>
  </si>
  <si>
    <t>Prepayed Taxes-Dist.</t>
  </si>
  <si>
    <t>AR Factoring</t>
  </si>
  <si>
    <t>Prepaid Pension</t>
  </si>
  <si>
    <t>Prepaid Use Taxes Gen</t>
  </si>
  <si>
    <t>Prepaid Insurance EIS</t>
  </si>
  <si>
    <t>Pension Benefits - All functions</t>
  </si>
  <si>
    <t>Virginia T-RAC UnderRecovery</t>
  </si>
  <si>
    <t>9280000</t>
  </si>
  <si>
    <t>Regulatory Commission Exp</t>
  </si>
  <si>
    <t>9301000</t>
  </si>
  <si>
    <t>General Advertising Expenses</t>
  </si>
  <si>
    <t>9301001</t>
  </si>
  <si>
    <t>Newspaper Advertising Space</t>
  </si>
  <si>
    <t>9301002</t>
  </si>
  <si>
    <t>Radio Station Advertising Time</t>
  </si>
  <si>
    <t>9301003</t>
  </si>
  <si>
    <t>TV Station Advertising Time</t>
  </si>
  <si>
    <t>9301004</t>
  </si>
  <si>
    <t>Newspaper Advertising Prod Exp</t>
  </si>
  <si>
    <t>9301005</t>
  </si>
  <si>
    <t>Radio &amp;TV Advertising Prod Exp</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</si>
  <si>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</si>
  <si>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</si>
  <si>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</si>
  <si>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</si>
  <si>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</si>
  <si>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</si>
  <si>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</si>
  <si>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</si>
  <si>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</si>
  <si>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</si>
  <si>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</si>
  <si>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</si>
  <si>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</si>
  <si>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</si>
  <si>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</si>
  <si>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</si>
  <si>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</si>
  <si>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</si>
  <si>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</si>
  <si>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</si>
  <si>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</si>
  <si>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</si>
  <si>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</si>
  <si>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</si>
  <si>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</si>
  <si>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</si>
  <si>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</si>
  <si>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</si>
  <si>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</si>
  <si>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</si>
  <si>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Tennessee Income Tax Rate</t>
  </si>
  <si>
    <t>Apportionment Factor - Note 2</t>
  </si>
  <si>
    <t>West Virginia Net Income Tax Rate</t>
  </si>
  <si>
    <t>Virginia Income Tax Rate</t>
  </si>
  <si>
    <t>Ohio Franchise Tax Rate</t>
  </si>
  <si>
    <t>Phase-out Factor Note 1</t>
  </si>
  <si>
    <t>Michigan Business Income Tax Rate</t>
  </si>
  <si>
    <t>Illinois Corporation Income Tax Rate</t>
  </si>
  <si>
    <t>VIRGINIA JURISDICTION</t>
  </si>
  <si>
    <t>WEST VA JURISDICTION</t>
  </si>
  <si>
    <t>Senior Unsecured Notes - Series I</t>
  </si>
  <si>
    <t>Senior Unsecured Notes - Series K</t>
  </si>
  <si>
    <t>Senior Unsecured Notes - Series L</t>
  </si>
  <si>
    <t>Senior Unsecured Notes - Series H</t>
  </si>
  <si>
    <t>Senior Unsecured Notes - Series N</t>
  </si>
  <si>
    <t>Senior Unsecured Notes - Series Q</t>
  </si>
  <si>
    <t>Senior Unsecured Notes - Series S</t>
  </si>
  <si>
    <t>Senior Unsecured Notes - Series T</t>
  </si>
  <si>
    <t>2016 Forecasted Revenue Requirement For Year 2016</t>
  </si>
  <si>
    <t>An over or under collection will be recovered prorata over 2016, held for 2017 and returned prorate over 2018</t>
  </si>
  <si>
    <t>APCo Worksheet J -  ATRR PROJECTED Calculation for PJM Projects Charged to Benefiting Zones</t>
  </si>
  <si>
    <t>RTEP ID: b0318 (Amos 765/138 kV Transformer)</t>
  </si>
  <si>
    <t>No</t>
  </si>
  <si>
    <t>RTEP ID: b1712.2 (Altavista-Leesville 138kV line)</t>
  </si>
  <si>
    <t>RTEP ID: b2020 (Rebuild Amos-Kanawha River 138 kV corridor)</t>
  </si>
  <si>
    <t>RTEP ID: b2021 (Kanawha River Gen Retirement - Upgrades)</t>
  </si>
  <si>
    <t>RTEP ID: b2017 (Rebuild Sporn-Waterford-Muskingum River 345 kV line)</t>
  </si>
  <si>
    <t>RTEP ID: b1660 (Install a 765/500 kV transformer at Cloverdale)</t>
  </si>
  <si>
    <t>RTEP ID: b1660.1 (Cloverdale: Establish 500 kV station and 500 to 765 kV tie)</t>
  </si>
  <si>
    <t>RTEP ID: b1663.2 (Jacksons Ferry 765 kV breakers, switches, bus work, and relays)</t>
  </si>
  <si>
    <t>RTEP ID: b1875 (138 kV Bradley to McClung upgrades)</t>
  </si>
  <si>
    <t>RTEP ID: b1797.1 (Reconductor portion of Cloverdale-Lexington 500 kV line)</t>
  </si>
  <si>
    <t>RTEP ID: b1712.1 (Altavista-Leesville 138kV line)</t>
  </si>
  <si>
    <t>RTEP ID: b2687.2 (Install a 300 MVAR shunt line reactor Broadford-Jacksons Ferry 765 kV line)</t>
  </si>
  <si>
    <t>RTEP ID: b2687.1 (Install a 450 MVAR SVC Jacksons Ferry 765kv Substation)</t>
  </si>
  <si>
    <t>EFFECTIVE AS OF October 31, 2018</t>
  </si>
  <si>
    <t xml:space="preserve">  (1) As approved in Indiana Case No. 44967.</t>
  </si>
  <si>
    <t xml:space="preserve">  (2) As approved in MICHIGAN Case No. U18370.</t>
  </si>
  <si>
    <t>Cap Limit</t>
  </si>
  <si>
    <t>Capital Structure Percentages</t>
  </si>
  <si>
    <t>Capital Structure Equity Limit (Note Z)</t>
  </si>
  <si>
    <t>Z</t>
  </si>
  <si>
    <t xml:space="preserve">Per the settlement in EL17-13, equity is limited to 55% in of the Company's capital structure.  If the percentage of actual equity exceeds the cap, the excess is included as long term debt in the capital structure.  </t>
  </si>
  <si>
    <t>1650003</t>
  </si>
  <si>
    <t>1650017</t>
  </si>
  <si>
    <t>Prepayment - Coal</t>
  </si>
  <si>
    <t>Prepayed Taxes</t>
  </si>
  <si>
    <t>Prepaid Coal</t>
  </si>
  <si>
    <t>Amortization Severance</t>
  </si>
  <si>
    <t>Regulatory Commission Exp-Adm</t>
  </si>
  <si>
    <t>Regulatory Commission Exp-Case</t>
  </si>
  <si>
    <t>Reg Com Exp-FERC Trans Cases</t>
  </si>
  <si>
    <t>9280001</t>
  </si>
  <si>
    <t>9280002</t>
  </si>
  <si>
    <t>9280005</t>
  </si>
  <si>
    <t>RTEP ID: b2230 (replace existing 150 MVAR reactor at Amos 765kV substation)</t>
  </si>
  <si>
    <t>Other prepayments - Gen</t>
  </si>
  <si>
    <t>Prefunded Pension Exp</t>
  </si>
  <si>
    <t>SFAS 158 Offset</t>
  </si>
  <si>
    <t>Prepaid Taxes - Distribution</t>
  </si>
  <si>
    <t>Prepaid Interest - Distribution</t>
  </si>
  <si>
    <t>Prefunded Pension Expense</t>
  </si>
  <si>
    <t>SFAS 112 Overfunding Asset</t>
  </si>
  <si>
    <t>Labor Related Expense</t>
  </si>
  <si>
    <t>Prepaid Use Tax - Generation</t>
  </si>
  <si>
    <t>Technology Development</t>
  </si>
  <si>
    <t>Prepaid Rents</t>
  </si>
  <si>
    <t>PRW for MED-D Benefits</t>
  </si>
  <si>
    <t>FAS 158 Contra-PRW exc Med-D</t>
  </si>
  <si>
    <t>Prepaid Use</t>
  </si>
  <si>
    <t>Prepaid OCIP Work Comp LT-AFF</t>
  </si>
  <si>
    <t>Property Fees</t>
  </si>
  <si>
    <t>Prepaid Lease Gen</t>
  </si>
  <si>
    <t>Pla nt Related Insurance Policies</t>
  </si>
  <si>
    <t>pg. 263, ln. 6</t>
  </si>
  <si>
    <t>pg. 263, ln. 9</t>
  </si>
  <si>
    <t>pg. 263, ln. 20</t>
  </si>
  <si>
    <t>pg. 263, ln. 21</t>
  </si>
  <si>
    <t>pg. 263, ln. 25</t>
  </si>
  <si>
    <t>pg. 263, ln. 26</t>
  </si>
  <si>
    <t>pg. 263, ln. 33</t>
  </si>
  <si>
    <t>pg. 263, ln. 34</t>
  </si>
  <si>
    <t>pg. 263, ln. 37</t>
  </si>
  <si>
    <t>pg. 263, ln. 38</t>
  </si>
  <si>
    <t>pg. 263, ln. 39</t>
  </si>
  <si>
    <t>pg. 263.1, ln. 3</t>
  </si>
  <si>
    <t>pg. 263.1, ln. 5</t>
  </si>
  <si>
    <t>pg. 263.1, ln. 6</t>
  </si>
  <si>
    <t>pg. 263.1, ln. 18</t>
  </si>
  <si>
    <t>pg. 263.1, ln. 27</t>
  </si>
  <si>
    <t>pg. 263.1, ln. 28</t>
  </si>
  <si>
    <t>pg. 263.1, ln. 30</t>
  </si>
  <si>
    <t>pg. 263.1, ln. 31</t>
  </si>
  <si>
    <t>pg. 263.2, ln. 1</t>
  </si>
  <si>
    <t>pg. 263.2, ln. 11</t>
  </si>
  <si>
    <t>pg. 263.2, ln. 12</t>
  </si>
  <si>
    <t>pg. 263.2, ln. 22</t>
  </si>
  <si>
    <t>pg. 263.2, ln. 23</t>
  </si>
  <si>
    <t>pg. 263.2, ln. 26</t>
  </si>
  <si>
    <t>pg. 263.2, ln. 27</t>
  </si>
  <si>
    <t>pg. 263.2, ln. 34</t>
  </si>
  <si>
    <t>pg. 263.2, ln. 36</t>
  </si>
  <si>
    <t>pg. 263.2, ln. 40</t>
  </si>
  <si>
    <t>pg. 263.3, ln. 7</t>
  </si>
  <si>
    <t>pg. 263.3, ln. 8</t>
  </si>
  <si>
    <t>pg. 263.3, ln. 10</t>
  </si>
  <si>
    <t>pg. 263.3, ln. 11</t>
  </si>
  <si>
    <t>pg. 263.1, Ln. 34</t>
  </si>
  <si>
    <t>pg. 263.1, Ln. 35</t>
  </si>
  <si>
    <t>pg. 263.3, ln. 15</t>
  </si>
  <si>
    <t>pg. 263.3, ln. 22</t>
  </si>
  <si>
    <t>pg. 263.3, ln. 24</t>
  </si>
  <si>
    <t>pg. 263.3, ln. 25</t>
  </si>
  <si>
    <t>pg. 263.3, ln. 33</t>
  </si>
  <si>
    <t>pg. 263.3, ln. 34</t>
  </si>
  <si>
    <t>pg. 263.4, ln. 29</t>
  </si>
  <si>
    <t>pg. 263, ln. 13</t>
  </si>
  <si>
    <t>pg. 263, ln. 14</t>
  </si>
  <si>
    <t>TX AMORT POLLUTION CONT EQPT</t>
  </si>
  <si>
    <t xml:space="preserve">NON-UTILITY DEFERRED FIT </t>
  </si>
  <si>
    <t>SFAS 109 FLOW-THRU 281.3</t>
  </si>
  <si>
    <t>SFAS 109 EXCESS DFIT 281.4</t>
  </si>
  <si>
    <t>BOOK VS. TAX DEPRECIATION</t>
  </si>
  <si>
    <t>FERC ORDER 144 CATCH UP</t>
  </si>
  <si>
    <t>CAPD INTEREST - SECTION 481(a) - CHANGE IN METHD</t>
  </si>
  <si>
    <t>RELOCATION COST - SECTION 481(a) - CHANGE IN METH</t>
  </si>
  <si>
    <t>PJM INTEGRATION - SEC 481(a) - INTANG - DFD LABOR</t>
  </si>
  <si>
    <t>R &amp; D DEDUCTION - SECTION 174</t>
  </si>
  <si>
    <t>BK PLANT IN SERVICE-SFAS 143-ARO</t>
  </si>
  <si>
    <t>MNTR CARBON CAPTURE - SFAS 143 - ARO</t>
  </si>
  <si>
    <t>NORMALIZED BASIS DIFFS - TRANSFERRED PLANTS</t>
  </si>
  <si>
    <t>DFIT GENERATION PLANT</t>
  </si>
  <si>
    <t>GAIN/LOSS ON ACRS/MACRS PROPERTY</t>
  </si>
  <si>
    <t>GAIN/LOSS ON ACRS/MACRS-BK/TX UNIT PROP</t>
  </si>
  <si>
    <t>ABFUDC</t>
  </si>
  <si>
    <t>ABFUDC - TRANSMISSION</t>
  </si>
  <si>
    <t>ABFUDC - GENERAL</t>
  </si>
  <si>
    <t>ABFUDC - DISTRIBUTION</t>
  </si>
  <si>
    <t>TAXES CAPITALIZED</t>
  </si>
  <si>
    <t>PENSIONS CAPITALIZED</t>
  </si>
  <si>
    <t>SEC 481 PENS/OPEB ADJUSTMENT</t>
  </si>
  <si>
    <t>SAVINGS PLAN CAPITALIZED</t>
  </si>
  <si>
    <t>PERCENT REPAIR ALLOWANCE</t>
  </si>
  <si>
    <t>BOOK/TAX UNIT OF PROPERTY ADJ</t>
  </si>
  <si>
    <t>BK/TAX UNIT OF PROPERTY ADJ-SEC 481 ADJ</t>
  </si>
  <si>
    <t>BOOK/TAX MIXED SERVICE COST ADJ</t>
  </si>
  <si>
    <t>BK/TX MIXED SERVICE COST ADJ-SEC 481 ADJ</t>
  </si>
  <si>
    <t>BOOK/TAX UNIT OF PROPERTY ADJ: AGR TRANSFER</t>
  </si>
  <si>
    <t>BK/TX UNIT OF PROPERTY ADJ-SEC 481 ADJ: AGR TRANSFER</t>
  </si>
  <si>
    <t>TX ACCEL AMORT - CAPITALIZED SOFTWARE</t>
  </si>
  <si>
    <t>CAPITALIZED RELOCATION COSTS</t>
  </si>
  <si>
    <t>EXTRAORDINARY LOSS ON DISP OF PROP</t>
  </si>
  <si>
    <t>DEFD TAX GAIN - FIBER OPTIC LINE</t>
  </si>
  <si>
    <t>DISALLOWED COSTS-RESERVE DEFICIENCY-APCO VA</t>
  </si>
  <si>
    <t>AMORT PERPETUAL TERM ELECT PLT</t>
  </si>
  <si>
    <t>CAPITALIZED LEASES - A/C 1011 ASSETS</t>
  </si>
  <si>
    <t>GAIN ON REACQUIRED DEBT</t>
  </si>
  <si>
    <t>REMOVAL COSTS</t>
  </si>
  <si>
    <t>REMOVAL COSTS - ARO-MTNR CARBON CAPTURE</t>
  </si>
  <si>
    <t>REMOVAL COSTS REV - SFAS 143 - ARO</t>
  </si>
  <si>
    <t>TAX WRITE OFF MINE DEVEL COSTS</t>
  </si>
  <si>
    <t>BK DEPLETION -- NUEAST</t>
  </si>
  <si>
    <t>2007 IRS AUDIT ADJUSTMENTS - A/C 282</t>
  </si>
  <si>
    <t>TAX CUTS AND JOBS ACT (TCJA)</t>
  </si>
  <si>
    <t>EXCESS ADFIT</t>
  </si>
  <si>
    <t>SFAS 109 FLOW-THRU 282.3</t>
  </si>
  <si>
    <t>SFAS 109 EXCESS DFIT 282.4</t>
  </si>
  <si>
    <t>NOL - STATE C/F - DEF STATE TAX ASSET - L/T</t>
  </si>
  <si>
    <t>SW - UNDER RECOVERY FUEL COST</t>
  </si>
  <si>
    <t>SV - UNDER RECOVERY FUEL COST</t>
  </si>
  <si>
    <t>WV -ENEC UNDER RECOVERY BANK</t>
  </si>
  <si>
    <t>DEFD EQUITY CARRY CHGS - WV-ENEC</t>
  </si>
  <si>
    <t>WV UNRECOV FUEL POOL CAPACITY IMPACT</t>
  </si>
  <si>
    <t>WV CENTURY ENEC UNDER RECOVERY</t>
  </si>
  <si>
    <t>WV UNREC FUEL DISPUTED COAL INV</t>
  </si>
  <si>
    <t>CV-UNDER RECOVERY FUEL COST</t>
  </si>
  <si>
    <t>PROPERTY TAX - NEW METHOD - BOOK</t>
  </si>
  <si>
    <t>PROP TX-STATE 2 OLD METHOD-TX</t>
  </si>
  <si>
    <t>DEFD TAX GAIN - APCO WV SEC REG ASSET</t>
  </si>
  <si>
    <t>MTM BK GAIN - A/L - TAX DEFL</t>
  </si>
  <si>
    <t>MARK &amp; SPREAD - DEFL - 283 A/L</t>
  </si>
  <si>
    <t>ACCRUED BK PENSION EXPENSE</t>
  </si>
  <si>
    <t>ACCRUED BK PENSION COSTS - SFAS 158</t>
  </si>
  <si>
    <t>REG ASSET - DEFERRED RTO COSTS</t>
  </si>
  <si>
    <t>DEFD ENVIRON COMP COSTS &amp; CARRYING CHARGES</t>
  </si>
  <si>
    <t>DEFD SYS RELIABILITY COSTS &amp; CARRYING CHARGES</t>
  </si>
  <si>
    <t>DEFD EQUITY CARRY CHRGS-RELIABILITY CAPITAL</t>
  </si>
  <si>
    <t>DEFD EXPS (A/C 186)</t>
  </si>
  <si>
    <t>DEFD STORM DAMAGE</t>
  </si>
  <si>
    <t>RATE CASE DEFERRED CHARGES</t>
  </si>
  <si>
    <t>BK DEFL-DEMAND SIDE MNGMT EXP</t>
  </si>
  <si>
    <t>DEFD BK LOSS-NON AFF SALE-EMA</t>
  </si>
  <si>
    <t>BOOK &gt; TAX - EMA - A/C 283</t>
  </si>
  <si>
    <t>DEFD TX GAIN - INTERCO SALE - EMA</t>
  </si>
  <si>
    <t>DEFD TAX GAIN - EPA AUCTION</t>
  </si>
  <si>
    <t>DEFD BOOK GAIN - EPA AUCTION</t>
  </si>
  <si>
    <t>BK DEFL - MACSS COSTS</t>
  </si>
  <si>
    <t>TRANSITION REGULATORY ASSETS</t>
  </si>
  <si>
    <t>REG ASSET-SFAS 143 - ARO</t>
  </si>
  <si>
    <t>REG ASSET-SFAS 158 - PENSIONS</t>
  </si>
  <si>
    <t>REG ASSET-SFAS 158 - SERP</t>
  </si>
  <si>
    <t>REG ASSET-SFAS 158 - OPEB</t>
  </si>
  <si>
    <t>REG ASSET-UNDERRECOVERY-VIRGINIA T-RAC</t>
  </si>
  <si>
    <t>REG ASSET-MOUNTAINEER CARBON CAPTURE</t>
  </si>
  <si>
    <t>REG ASSET-DEFERRED RPS COSTS</t>
  </si>
  <si>
    <t>REG ASSET-CARRYING CHARGES-WV ENEC</t>
  </si>
  <si>
    <t>TAX DEFL - NON-DEPRECIABLES</t>
  </si>
  <si>
    <t>REG ASSET-DEFD SEVERANCE COSTS</t>
  </si>
  <si>
    <t>REG ASSET-TRANS AGREEMENT PHASE-IN-WV</t>
  </si>
  <si>
    <t>REG ASSET-DEFD VA WIND REPLACEMENT CSTS</t>
  </si>
  <si>
    <t>REG ASSET-NET CCS FEED STUDY COSTS</t>
  </si>
  <si>
    <t>REG ASSET-DEFD VA DEMAND RESPONSE PROGRAM</t>
  </si>
  <si>
    <t>REG ASSET DRESDEN UNRECOG EQUITY CC WV</t>
  </si>
  <si>
    <t>REG ASSET DRESDEN OPERATION COST VA</t>
  </si>
  <si>
    <t>REG ASSET DRESDEN CARRYING COSTS VA</t>
  </si>
  <si>
    <t>REG ASSET DRESDEN UNRECOG EQUITY CC VA</t>
  </si>
  <si>
    <t>REG ASSET DRESDEN CARRYING COST WV</t>
  </si>
  <si>
    <t>REG ASSET DRESDEN OPERATING COSTS WV</t>
  </si>
  <si>
    <t>REG ASSET-DEFERRED VA RPS INCREM COSTS-CURRENT</t>
  </si>
  <si>
    <t>REG ASSET-DEFERRED VA WIND NON-INCREM COSTS</t>
  </si>
  <si>
    <t>REG ASSET-DEFD VA SOFTWARE LICENSING EXPENSE</t>
  </si>
  <si>
    <t>REG ASSET-WV VMP (VEGETATION MGMT) COSTS</t>
  </si>
  <si>
    <t>REG ASSET-CARRYING CHARGES-WV VMP</t>
  </si>
  <si>
    <t>REG ASSET-WW CC-CONSTR SURCHARG UNRECOG EQ</t>
  </si>
  <si>
    <t>REG ASSET-WW CONSTR SURCHRG OPER COSTS</t>
  </si>
  <si>
    <t>REG ASSET-WW CC CONSTR SURCHRG</t>
  </si>
  <si>
    <t>REG ASSET-UNREC EQUITY CC WV-AMOS 3</t>
  </si>
  <si>
    <t>REG ASSET-CARRYING CHARGES WV-AMOS 3</t>
  </si>
  <si>
    <t>REG ASSET-IGCC PRE-CONSTRUCTION COSTS</t>
  </si>
  <si>
    <t>REG ASSET-FELMAN PREM/DISC-ENEC-WV</t>
  </si>
  <si>
    <t>REG ASSET-WV AIR QUALITY PERMIT FEES</t>
  </si>
  <si>
    <t>REG ASSET-CAR CHGS-CAPITAL-WV VMP</t>
  </si>
  <si>
    <t>REG ASSET-NBV-ARO-RETIRED PLANTS</t>
  </si>
  <si>
    <t>REG ASSET-EXTRA LOSS-CLINCH RIVER PLANT</t>
  </si>
  <si>
    <t>REG ASSET-EXTRA LOSS-GLEN LYN U5 NET PLANT</t>
  </si>
  <si>
    <t>REG ASSET-EXTRA LOSS-SPORN PLANT</t>
  </si>
  <si>
    <t>REG ASSET-EXTRA LOSS-KANAWHA RIVER PLANT</t>
  </si>
  <si>
    <t>REG ASSET-EXTRA LOSS-GLEN LYN U6 NET PLANT</t>
  </si>
  <si>
    <t>REG ASSET-M&amp;S RETIRING PLANTS</t>
  </si>
  <si>
    <t>REG ASSET-COAL CO UNCOLL ACCTS</t>
  </si>
  <si>
    <t>REG ASSET-DEFD DEPREC-WV VEG MGT PROG</t>
  </si>
  <si>
    <t>REG ASSET-CAR CHGS-WV VMP-UNREC EQ</t>
  </si>
  <si>
    <t>REG ASSET-WV BASE REVENUES</t>
  </si>
  <si>
    <t>REG ASSET-WV BASE REVENUES-CAR CHGS</t>
  </si>
  <si>
    <t>REG ASSET-CAR CHGS-WV VMP RESERVE</t>
  </si>
  <si>
    <t>REG ASSET-VA EE-RAC EFFICIENT PRODUCTS</t>
  </si>
  <si>
    <t>REG ASSET-VA EE-RAC HOME ENERGY PROG</t>
  </si>
  <si>
    <t>REG ASSET-VA EE-RAC APPLIANCE RECYCLING</t>
  </si>
  <si>
    <t xml:space="preserve">REG ASSET-VA EE-RAC C&amp;I PRESCRIPTIVE </t>
  </si>
  <si>
    <t xml:space="preserve">REG ASSET-VA EE-RAC MOBILE HOME ES </t>
  </si>
  <si>
    <t>REG ASSET-VA EE-RAC EQUITY MARGIN</t>
  </si>
  <si>
    <t>REG ASSET-WV EE/DR-COMPANY FUNDED</t>
  </si>
  <si>
    <t>REG ASSET-WV PROV SURCREDIT-SPEC CTRCT</t>
  </si>
  <si>
    <t>REG ASSET-WV PROV SURCREDIT-CONTRA</t>
  </si>
  <si>
    <t>REG ASSET-BASE REV EQUITY CAR CHG-WV</t>
  </si>
  <si>
    <t>BOOK LEASES CAPITALIZED FOR TAX</t>
  </si>
  <si>
    <t>CAPITALIZED SOFTWARE COST - BOOK</t>
  </si>
  <si>
    <t>LOSS ON REACQUIRED DEBT</t>
  </si>
  <si>
    <t>DEFD SFAS 106 BOOK COSTS</t>
  </si>
  <si>
    <t>SFAS 106-MEDICARE SUBSIDY-(PPACA)-REG ASSET</t>
  </si>
  <si>
    <t>REG ASSET - ACCRUED SFAS 112</t>
  </si>
  <si>
    <t>STATE NOL CURRENT BENEFIT</t>
  </si>
  <si>
    <t>SFAS 109 FLOW-THRU 283.3</t>
  </si>
  <si>
    <t>SFAS 109 EXCESS DFIT 283.4</t>
  </si>
  <si>
    <t>ADIT FED - HEDGE-INTEREST RATE 2830015</t>
  </si>
  <si>
    <t>ADIT FED - HEDGE-FOREIGN EXC 2830016</t>
  </si>
  <si>
    <t>SFAS 133 ADIT FED - SFAS 133 NONAFFIL 2830006</t>
  </si>
  <si>
    <t>SFAS 109 - DEFD STATE INCOME TAXES</t>
  </si>
  <si>
    <t>SEC ALLOC - ITC - 46F1 - 10%</t>
  </si>
  <si>
    <t xml:space="preserve">HYDRO CREDIT - ITC - 46F1 </t>
  </si>
  <si>
    <t>NOL &amp; TAX CREDIT C/F - DEF TAX ASSET</t>
  </si>
  <si>
    <t>INT EXP CAPITALIZED FOR TAX</t>
  </si>
  <si>
    <t xml:space="preserve">CIAC-BOOK RECEIPTS </t>
  </si>
  <si>
    <t>CIAC - BOOK RECEIPTS-DISTR -SV</t>
  </si>
  <si>
    <t>CIAC - BOOK RECEIPTS-TRANS</t>
  </si>
  <si>
    <t>CIAC - BOOK RECEIPTS-DISTR -SW</t>
  </si>
  <si>
    <t>CIAC - MUSSER ACQUISITION</t>
  </si>
  <si>
    <t>SW - OVER RECOVERY FUEL COSTS</t>
  </si>
  <si>
    <t>SV - OVER RECOVERY FUEL COSTS</t>
  </si>
  <si>
    <t>PROVS POSS REV REFDS</t>
  </si>
  <si>
    <t>PROV FOR RATE REFUND-TAX REFORM</t>
  </si>
  <si>
    <t>PROV FOR RATE REFUND-EXCESS PROTECTED</t>
  </si>
  <si>
    <t>SALE/LEASEBK-GRUNDY</t>
  </si>
  <si>
    <t>MTM BK LOSS - A/L - TAX DEFL</t>
  </si>
  <si>
    <t>MARK &amp; SPREAD-DEFL-190-A/L</t>
  </si>
  <si>
    <t>PROV WORKER'S COMP</t>
  </si>
  <si>
    <t>SUPPLEMENTAL EXECUTIVE RETIREMENT PLAN</t>
  </si>
  <si>
    <t>ACCRD SUP EXEC RETIR PLAN COSTS-SFAS 158</t>
  </si>
  <si>
    <t>ACCRD BK SUP. SAVINGS PLAN EXP</t>
  </si>
  <si>
    <t>EMPLOYER SAVINGS PLAN MATCH</t>
  </si>
  <si>
    <t>ACCRUED PSI PLAN EXP</t>
  </si>
  <si>
    <t>STOCK BASED COMP-CAREER SHARES</t>
  </si>
  <si>
    <t>BK PROV UNCOLL ACCTS</t>
  </si>
  <si>
    <t>PROV-TRADING CREDIT RISK - A/L</t>
  </si>
  <si>
    <t>PROV-FAS 157 - A/L</t>
  </si>
  <si>
    <t>ACCRD COMPANY INCENT PLAN-ENGAGE TO GAIN</t>
  </si>
  <si>
    <t>ACCRD COMPANYWIDE INCENTV PLAN</t>
  </si>
  <si>
    <t>ACCRD ENVIRONMENTAL LIAB-CURRENT</t>
  </si>
  <si>
    <t>ACCRUED BOOK VACATION PAY</t>
  </si>
  <si>
    <t>(ICDP)-INCENTIVE COMP DEFERRAL PLAN</t>
  </si>
  <si>
    <t>ACCRUED BK SEVERANCE BENEFITS</t>
  </si>
  <si>
    <t>ACCRUED INTEREST EXPENSE - STATE</t>
  </si>
  <si>
    <t>ACCRUED INTEREST-LONG-TERM - FIN 48</t>
  </si>
  <si>
    <t>ACCRUED INTEREST-SHORT-TERM - FIN 48</t>
  </si>
  <si>
    <t>ACCRUED STATE INCOME TAX EXP</t>
  </si>
  <si>
    <t>BK DFL RAIL TRANS REV/EXP</t>
  </si>
  <si>
    <t>ACCRUED RTO CARRYING CHARGES</t>
  </si>
  <si>
    <t>PROV LOSS-CAR CHG-PURCHASD EMA</t>
  </si>
  <si>
    <t>DEFD EQUITY CARRYING CHRGS-ENVIRON COMP COSTS</t>
  </si>
  <si>
    <t>FEDERAL MITIGATION PROGRAMS</t>
  </si>
  <si>
    <t xml:space="preserve">STATE MITIGATION PROGRAMS </t>
  </si>
  <si>
    <t>DEFD REV-EPRI/MNTR CARBON CAPTURE-CUR</t>
  </si>
  <si>
    <t>DEFD REV-EPRI/MNTR CARBON CAPTURE-L/T</t>
  </si>
  <si>
    <t>DEFD BK CONTRACT REVENUE</t>
  </si>
  <si>
    <t>DEFD STORM DAMAGES</t>
  </si>
  <si>
    <t>FK BK WRITE-OFF BLUE RDGE EASE</t>
  </si>
  <si>
    <t>FR BK WRITE-OFF BLUE RDGE EASE</t>
  </si>
  <si>
    <t>SV BK WRITE-OFF BLUE RDGE EASE</t>
  </si>
  <si>
    <t>CV BK WRITE-OFF BLUE RDGE EASE</t>
  </si>
  <si>
    <t>TAX &gt; BOOK BASIS - EMA-A/C 190</t>
  </si>
  <si>
    <t>DEFD TX LOSS-INTERCO SALE-EMA</t>
  </si>
  <si>
    <t>DEFD BOOK GAIN-EPA AUCTION</t>
  </si>
  <si>
    <t>ADVANCE RENTAL INC (CUR MO)</t>
  </si>
  <si>
    <t>DEFERRED BOOK RENTS</t>
  </si>
  <si>
    <t>REG LIAB-UNREAL MTM GAIN-DEFL</t>
  </si>
  <si>
    <t>SECURITIZATION DEFD EQUITY INCOME - LONG-TERM</t>
  </si>
  <si>
    <t>CAPITALIZED SOFTWARE COSTS-TAX</t>
  </si>
  <si>
    <t>CAPITALIZED ADVERTISING EXP-TX</t>
  </si>
  <si>
    <t>ACCRD SFAS 106 PST RETIRE EXP</t>
  </si>
  <si>
    <t>SFAS 106 PST RETIRE EXP - NON-DEDUCT CONT</t>
  </si>
  <si>
    <t>ACCRD OPEB COSTS - SFAS 158</t>
  </si>
  <si>
    <t>ACCRD SFAS 112 PST EMPLOY BEN</t>
  </si>
  <si>
    <t>ACCRD BOOK ARO EXPENSE - SFAS 143</t>
  </si>
  <si>
    <t>ACCRD BK ARO EXP - MTNR CARBON CAPTURE</t>
  </si>
  <si>
    <t>SFAS 106 - MEDICARE SUBSIDY - NORM - (PPACA)</t>
  </si>
  <si>
    <t>GROSS RECEIPTS- TAX EXPENSE</t>
  </si>
  <si>
    <t>ACCRUED BK REMOVAL COST - ACRS</t>
  </si>
  <si>
    <t>FIN 48 - DEFD STATE INCOME TAXES</t>
  </si>
  <si>
    <t>ACCRD SIT/FRANCHISE TAX RESERVE</t>
  </si>
  <si>
    <t>ACCRUED SALES &amp; USE TAX RESERVE</t>
  </si>
  <si>
    <t>ACCRD SIT TX RESERVE-LNG-TERM-FIN 48</t>
  </si>
  <si>
    <t>ACCRD SIT TX RESERVE-SHRT-TERM-FIN 48</t>
  </si>
  <si>
    <t>SFAS 109 - DEFD SIT LIABILITY</t>
  </si>
  <si>
    <t>IRS AUDIT SETTLEMENT</t>
  </si>
  <si>
    <t>1985-1987 IRS AUDIT SETTLEMENT</t>
  </si>
  <si>
    <t>1991-1996 IRS AUDIT SETTLEMENT</t>
  </si>
  <si>
    <t>1997-2003 IRS AUDIT SETTLEMENT</t>
  </si>
  <si>
    <t>2007 IRS AUDIT ADJUSTMENTS - A/C 190</t>
  </si>
  <si>
    <t>IRS CAPITALIZATION ADJUSTMENT</t>
  </si>
  <si>
    <t>AMT CREDIT - DEFERRED</t>
  </si>
  <si>
    <t>REHAB CREDIT - DEFD TAX ASSET RECLASS</t>
  </si>
  <si>
    <t>RESTRICTED STOCK PLAN</t>
  </si>
  <si>
    <t>PSI - STOCK BASED COMP</t>
  </si>
  <si>
    <t>SFAS 109 FLOW-THRU 190.3</t>
  </si>
  <si>
    <t>SFAS 109 EXCESS DFIT 190.4</t>
  </si>
  <si>
    <t>SFAS 133 ADIT FED - SFAS NONAFFIL 1900006</t>
  </si>
  <si>
    <t>ADIT FED - PENSION OCI NAF 1900009</t>
  </si>
  <si>
    <t>ADIT FED - PENSION OCI  1900010</t>
  </si>
  <si>
    <t>ADIT FED - NON-UMWA PRW OCI 1900011</t>
  </si>
  <si>
    <t>ADIT FED - UMWA PRW OCI 1900012</t>
  </si>
  <si>
    <t>ADIT FED - HEDGE-INTEREST RATE 1900015</t>
  </si>
  <si>
    <t>ADIT FED - HEDGE-FOREIGN EXC 1900016</t>
  </si>
  <si>
    <t>NON-UTILITY DEFERRED SIT  1902002</t>
  </si>
  <si>
    <t>DEFERRED SIT  1901002</t>
  </si>
  <si>
    <t>Total Other Jurisdictions:  (Line 6 * Net Plant Allocator)</t>
  </si>
  <si>
    <t>KINGSPORT JURISDICTION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</si>
</sst>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0.000000"/>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 numFmtId="199" formatCode="#,##0.00000000000000"/>
  </numFmts>
  <fonts count="163">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b/>
      <sz val="10"/>
      <color indexed="10"/>
      <name val="Arial Narrow"/>
      <family val="2"/>
    </font>
    <font>
      <b/>
      <u/>
      <sz val="14"/>
      <name val="Arial"/>
      <family val="2"/>
    </font>
    <font>
      <u/>
      <sz val="12"/>
      <name val="Arial MT"/>
    </font>
    <font>
      <u/>
      <sz val="12"/>
      <name val="Times New Roman"/>
      <family val="1"/>
    </font>
    <font>
      <sz val="10"/>
      <color indexed="12"/>
      <name val="Times New Roman"/>
      <family val="1"/>
    </font>
    <font>
      <u val="singleAccounting"/>
      <sz val="10"/>
      <name val="Arial"/>
      <family val="2"/>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b/>
      <strike/>
      <sz val="12"/>
      <color indexed="10"/>
      <name val="Arial"/>
      <family val="2"/>
    </font>
    <font>
      <sz val="10"/>
      <name val="Arial"/>
      <family val="2"/>
    </font>
    <font>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1"/>
      <color indexed="8"/>
      <name val="Calibri"/>
      <family val="2"/>
    </font>
    <font>
      <sz val="10"/>
      <color indexed="12"/>
      <name val="Arial"/>
      <family val="2"/>
    </font>
    <font>
      <sz val="8"/>
      <color indexed="8"/>
      <name val="Calibri"/>
      <family val="2"/>
    </font>
    <font>
      <sz val="10"/>
      <color indexed="10"/>
      <name val="Arial"/>
      <family val="2"/>
    </font>
    <font>
      <strike/>
      <sz val="12"/>
      <color indexed="10"/>
      <name val="Cambria"/>
      <family val="1"/>
    </font>
    <font>
      <sz val="12"/>
      <color indexed="10"/>
      <name val="Arial"/>
      <family val="2"/>
    </font>
    <font>
      <b/>
      <sz val="10"/>
      <color indexed="10"/>
      <name val="Arial"/>
      <family val="2"/>
    </font>
    <font>
      <sz val="14"/>
      <color indexed="10"/>
      <name val="Arial"/>
      <family val="2"/>
    </font>
    <font>
      <b/>
      <sz val="14"/>
      <color indexed="10"/>
      <name val="Arial"/>
      <family val="2"/>
    </font>
    <font>
      <sz val="10"/>
      <color indexed="12"/>
      <name val="Calibri"/>
      <family val="2"/>
    </font>
    <font>
      <sz val="12"/>
      <color indexed="8"/>
      <name val="Arial"/>
      <family val="2"/>
    </font>
    <font>
      <sz val="12"/>
      <color indexed="23"/>
      <name val="Arial"/>
      <family val="2"/>
    </font>
    <font>
      <sz val="12"/>
      <color indexed="9"/>
      <name val="Arial"/>
      <family val="2"/>
    </font>
    <font>
      <sz val="11"/>
      <color theme="1"/>
      <name val="Calibri"/>
      <family val="2"/>
      <scheme val="minor"/>
    </font>
    <font>
      <sz val="11"/>
      <color theme="1"/>
      <name val="Calibri"/>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indexed="13"/>
        <bgColor indexed="64"/>
      </patternFill>
    </fill>
    <fill>
      <patternFill patternType="solid">
        <fgColor indexed="23"/>
        <bgColor indexed="64"/>
      </patternFill>
    </fill>
    <fill>
      <patternFill patternType="solid">
        <fgColor theme="0"/>
        <bgColor indexed="64"/>
      </patternFill>
    </fill>
  </fills>
  <borders count="5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57">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6"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2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8" fillId="0" borderId="0" applyFont="0" applyFill="0" applyBorder="0" applyAlignment="0" applyProtection="0"/>
    <xf numFmtId="43" fontId="11" fillId="0" borderId="0" applyFont="0" applyFill="0" applyBorder="0" applyAlignment="0" applyProtection="0"/>
    <xf numFmtId="43" fontId="1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28"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3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2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8" fillId="0" borderId="0" applyFont="0" applyFill="0" applyBorder="0" applyAlignment="0" applyProtection="0"/>
    <xf numFmtId="44" fontId="11" fillId="0" borderId="0" applyFont="0" applyFill="0" applyBorder="0" applyAlignment="0" applyProtection="0"/>
    <xf numFmtId="44" fontId="128"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1"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3" fillId="0" borderId="0"/>
    <xf numFmtId="3" fontId="11" fillId="0" borderId="0"/>
    <xf numFmtId="3" fontId="11" fillId="0" borderId="0"/>
    <xf numFmtId="3" fontId="123" fillId="0" borderId="0"/>
    <xf numFmtId="0" fontId="11" fillId="0" borderId="0"/>
    <xf numFmtId="3" fontId="11" fillId="0" borderId="0"/>
    <xf numFmtId="3" fontId="123" fillId="0" borderId="0"/>
    <xf numFmtId="3" fontId="11" fillId="0" borderId="0"/>
    <xf numFmtId="0" fontId="161" fillId="0" borderId="0"/>
    <xf numFmtId="3" fontId="123" fillId="0" borderId="0"/>
    <xf numFmtId="3" fontId="11" fillId="0" borderId="0"/>
    <xf numFmtId="3" fontId="123" fillId="0" borderId="0"/>
    <xf numFmtId="3" fontId="11" fillId="0" borderId="0"/>
    <xf numFmtId="0" fontId="11" fillId="0" borderId="0"/>
    <xf numFmtId="3" fontId="123" fillId="0" borderId="0"/>
    <xf numFmtId="3" fontId="11" fillId="0" borderId="0"/>
    <xf numFmtId="3" fontId="123" fillId="0" borderId="0"/>
    <xf numFmtId="3" fontId="11" fillId="0" borderId="0"/>
    <xf numFmtId="3" fontId="123" fillId="0" borderId="0"/>
    <xf numFmtId="3" fontId="11" fillId="0" borderId="0"/>
    <xf numFmtId="3" fontId="124" fillId="0" borderId="0"/>
    <xf numFmtId="3" fontId="11" fillId="0" borderId="0"/>
    <xf numFmtId="0" fontId="11" fillId="0" borderId="0"/>
    <xf numFmtId="0" fontId="122" fillId="0" borderId="0"/>
    <xf numFmtId="0" fontId="162" fillId="0" borderId="0"/>
    <xf numFmtId="0" fontId="11" fillId="0" borderId="0"/>
    <xf numFmtId="0" fontId="11" fillId="0" borderId="0"/>
    <xf numFmtId="0" fontId="162" fillId="0" borderId="0"/>
    <xf numFmtId="0" fontId="146" fillId="0" borderId="0"/>
    <xf numFmtId="0" fontId="11" fillId="0" borderId="0"/>
    <xf numFmtId="0" fontId="11" fillId="0" borderId="0"/>
    <xf numFmtId="3" fontId="124" fillId="0" borderId="0"/>
    <xf numFmtId="3" fontId="11" fillId="0" borderId="0"/>
    <xf numFmtId="3" fontId="124" fillId="0" borderId="0"/>
    <xf numFmtId="3" fontId="11" fillId="0" borderId="0"/>
    <xf numFmtId="3" fontId="124" fillId="0" borderId="0"/>
    <xf numFmtId="3" fontId="11" fillId="0" borderId="0"/>
    <xf numFmtId="3" fontId="124" fillId="0" borderId="0"/>
    <xf numFmtId="3" fontId="11" fillId="0" borderId="0"/>
    <xf numFmtId="3" fontId="124" fillId="0" borderId="0"/>
    <xf numFmtId="3" fontId="11" fillId="0" borderId="0"/>
    <xf numFmtId="3" fontId="124" fillId="0" borderId="0"/>
    <xf numFmtId="3" fontId="11" fillId="0" borderId="0"/>
    <xf numFmtId="3" fontId="124" fillId="0" borderId="0"/>
    <xf numFmtId="3" fontId="11" fillId="0" borderId="0"/>
    <xf numFmtId="3" fontId="11" fillId="0" borderId="0"/>
    <xf numFmtId="3" fontId="130" fillId="0" borderId="0"/>
    <xf numFmtId="3" fontId="11" fillId="0" borderId="0"/>
    <xf numFmtId="3" fontId="130" fillId="0" borderId="0"/>
    <xf numFmtId="3" fontId="11" fillId="0" borderId="0"/>
    <xf numFmtId="0" fontId="11" fillId="0" borderId="0"/>
    <xf numFmtId="0" fontId="11" fillId="0" borderId="0"/>
    <xf numFmtId="3" fontId="11" fillId="0" borderId="0"/>
    <xf numFmtId="0" fontId="11" fillId="0" borderId="0"/>
    <xf numFmtId="3" fontId="11" fillId="0" borderId="0"/>
    <xf numFmtId="0" fontId="1" fillId="0" borderId="0"/>
    <xf numFmtId="0" fontId="146" fillId="0" borderId="0"/>
    <xf numFmtId="0" fontId="11" fillId="0" borderId="0"/>
    <xf numFmtId="0" fontId="123" fillId="0" borderId="0"/>
    <xf numFmtId="0" fontId="11" fillId="0" borderId="0"/>
    <xf numFmtId="0" fontId="11" fillId="0" borderId="0"/>
    <xf numFmtId="0" fontId="124" fillId="0" borderId="0"/>
    <xf numFmtId="0" fontId="11" fillId="0" borderId="0"/>
    <xf numFmtId="0" fontId="11" fillId="0" borderId="0"/>
    <xf numFmtId="0" fontId="11" fillId="0" borderId="0"/>
    <xf numFmtId="0" fontId="128" fillId="0" borderId="0"/>
    <xf numFmtId="0" fontId="11" fillId="0" borderId="0"/>
    <xf numFmtId="0" fontId="130" fillId="0" borderId="0"/>
    <xf numFmtId="0" fontId="11" fillId="0" borderId="0"/>
    <xf numFmtId="0" fontId="11" fillId="0" borderId="0"/>
    <xf numFmtId="0" fontId="146" fillId="0" borderId="0"/>
    <xf numFmtId="0" fontId="11" fillId="0" borderId="0"/>
    <xf numFmtId="3" fontId="116" fillId="0" borderId="0"/>
    <xf numFmtId="3" fontId="11" fillId="0" borderId="0"/>
    <xf numFmtId="0" fontId="11" fillId="0" borderId="0"/>
    <xf numFmtId="3" fontId="11" fillId="0" borderId="0"/>
    <xf numFmtId="0" fontId="11" fillId="0" borderId="0"/>
    <xf numFmtId="0" fontId="161" fillId="0" borderId="0"/>
    <xf numFmtId="0" fontId="123" fillId="0" borderId="0"/>
    <xf numFmtId="0" fontId="11" fillId="0" borderId="0"/>
    <xf numFmtId="0" fontId="11" fillId="0" borderId="0"/>
    <xf numFmtId="0" fontId="124" fillId="0" borderId="0"/>
    <xf numFmtId="0" fontId="11" fillId="0" borderId="0"/>
    <xf numFmtId="0" fontId="130" fillId="0" borderId="0"/>
    <xf numFmtId="0" fontId="11" fillId="0" borderId="0"/>
    <xf numFmtId="0" fontId="161" fillId="0" borderId="0"/>
    <xf numFmtId="0" fontId="11" fillId="0" borderId="0"/>
    <xf numFmtId="0" fontId="161" fillId="0" borderId="0"/>
    <xf numFmtId="0" fontId="11" fillId="0" borderId="0"/>
    <xf numFmtId="0" fontId="161" fillId="0" borderId="0"/>
    <xf numFmtId="0" fontId="11" fillId="0" borderId="0"/>
    <xf numFmtId="0" fontId="2" fillId="0" borderId="0" applyProtection="0"/>
    <xf numFmtId="0" fontId="1" fillId="0" borderId="0"/>
    <xf numFmtId="0" fontId="124" fillId="0" borderId="0"/>
    <xf numFmtId="0" fontId="11" fillId="0" borderId="0"/>
    <xf numFmtId="0" fontId="11" fillId="0" borderId="0"/>
    <xf numFmtId="0" fontId="128" fillId="0" borderId="0"/>
    <xf numFmtId="0" fontId="135" fillId="0" borderId="0"/>
    <xf numFmtId="172" fontId="2" fillId="0" borderId="0" applyProtection="0"/>
    <xf numFmtId="0" fontId="1" fillId="0" borderId="0"/>
    <xf numFmtId="0" fontId="1"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4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2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493">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263" applyFont="1" applyFill="1" applyAlignment="1">
      <alignment horizontal="center"/>
    </xf>
    <xf numFmtId="0" fontId="14" fillId="0" borderId="0" xfId="263" applyFont="1" applyFill="1"/>
    <xf numFmtId="9" fontId="8" fillId="0" borderId="0" xfId="263" quotePrefix="1" applyNumberFormat="1" applyFont="1" applyFill="1" applyAlignment="1">
      <alignment horizontal="center"/>
    </xf>
    <xf numFmtId="0" fontId="16" fillId="0" borderId="0" xfId="263" applyFont="1" applyAlignment="1">
      <alignment horizontal="right"/>
    </xf>
    <xf numFmtId="0" fontId="16" fillId="0" borderId="0" xfId="263" applyFont="1" applyAlignment="1">
      <alignment horizontal="center"/>
    </xf>
    <xf numFmtId="0" fontId="16" fillId="0" borderId="0" xfId="263" applyFont="1" applyFill="1" applyAlignment="1">
      <alignment horizontal="center"/>
    </xf>
    <xf numFmtId="9" fontId="8" fillId="0" borderId="0" xfId="263"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7" fillId="0" borderId="0" xfId="0" applyFont="1"/>
    <xf numFmtId="0" fontId="11" fillId="0" borderId="0" xfId="263" applyFont="1" applyFill="1"/>
    <xf numFmtId="41" fontId="11" fillId="0" borderId="0" xfId="263" applyNumberFormat="1" applyFont="1" applyFill="1"/>
    <xf numFmtId="0" fontId="14" fillId="0" borderId="0" xfId="263" applyFont="1" applyFill="1" applyAlignment="1">
      <alignment horizontal="left"/>
    </xf>
    <xf numFmtId="3" fontId="11" fillId="0" borderId="0" xfId="0" applyNumberFormat="1" applyFont="1" applyFill="1"/>
    <xf numFmtId="0" fontId="4" fillId="0" borderId="0" xfId="263" applyFont="1" applyFill="1" applyAlignment="1">
      <alignment horizontal="right"/>
    </xf>
    <xf numFmtId="40" fontId="11" fillId="0" borderId="0" xfId="0" applyNumberFormat="1" applyFont="1" applyFill="1"/>
    <xf numFmtId="0" fontId="11" fillId="0" borderId="0" xfId="263" applyFont="1"/>
    <xf numFmtId="0" fontId="4" fillId="0" borderId="0" xfId="263" applyFont="1" applyFill="1"/>
    <xf numFmtId="0" fontId="8" fillId="0" borderId="0" xfId="263" applyFont="1" applyFill="1" applyBorder="1" applyAlignment="1">
      <alignment horizontal="left"/>
    </xf>
    <xf numFmtId="0" fontId="8" fillId="0" borderId="0" xfId="263" applyFont="1" applyFill="1" applyBorder="1"/>
    <xf numFmtId="0" fontId="11" fillId="0" borderId="0" xfId="263" applyFont="1" applyAlignment="1">
      <alignment horizontal="left"/>
    </xf>
    <xf numFmtId="0" fontId="5" fillId="0" borderId="0" xfId="263"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5" fontId="4" fillId="0" borderId="0" xfId="0" applyNumberFormat="1" applyFont="1" applyFill="1"/>
    <xf numFmtId="3" fontId="18" fillId="0" borderId="0" xfId="0" applyNumberFormat="1" applyFont="1" applyFill="1" applyAlignment="1"/>
    <xf numFmtId="41" fontId="26" fillId="0" borderId="0" xfId="263" applyNumberFormat="1" applyFont="1" applyFill="1" applyBorder="1"/>
    <xf numFmtId="0" fontId="27" fillId="0" borderId="0" xfId="263" applyFont="1" applyFill="1" applyAlignment="1">
      <alignment horizontal="left"/>
    </xf>
    <xf numFmtId="0" fontId="25" fillId="0" borderId="0" xfId="263" applyFont="1" applyFill="1"/>
    <xf numFmtId="41" fontId="25" fillId="0" borderId="0" xfId="263" applyNumberFormat="1" applyFont="1" applyFill="1" applyBorder="1" applyAlignment="1">
      <alignment vertical="top"/>
    </xf>
    <xf numFmtId="180" fontId="25" fillId="0" borderId="0" xfId="263" applyNumberFormat="1" applyFont="1" applyFill="1"/>
    <xf numFmtId="41" fontId="25" fillId="0" borderId="0" xfId="263" applyNumberFormat="1" applyFont="1" applyFill="1" applyBorder="1"/>
    <xf numFmtId="0" fontId="25" fillId="0" borderId="0" xfId="263" applyFont="1" applyFill="1" applyAlignment="1">
      <alignment horizontal="left"/>
    </xf>
    <xf numFmtId="0" fontId="28" fillId="0" borderId="0" xfId="263" applyFont="1" applyFill="1" applyBorder="1"/>
    <xf numFmtId="0" fontId="25" fillId="0" borderId="0" xfId="263" applyFont="1" applyFill="1" applyAlignment="1">
      <alignment horizontal="center"/>
    </xf>
    <xf numFmtId="0" fontId="9" fillId="0" borderId="0" xfId="263" applyFont="1" applyFill="1" applyAlignment="1">
      <alignment horizontal="center"/>
    </xf>
    <xf numFmtId="173" fontId="25" fillId="0" borderId="0" xfId="263" applyNumberFormat="1" applyFont="1" applyFill="1"/>
    <xf numFmtId="173" fontId="25" fillId="0" borderId="0" xfId="263" applyNumberFormat="1" applyFont="1" applyFill="1" applyBorder="1" applyAlignment="1">
      <alignment vertical="top"/>
    </xf>
    <xf numFmtId="41" fontId="25" fillId="0" borderId="13" xfId="263" applyNumberFormat="1" applyFont="1" applyFill="1" applyBorder="1"/>
    <xf numFmtId="173" fontId="5" fillId="0" borderId="0" xfId="86" applyNumberFormat="1" applyFont="1" applyFill="1" applyAlignment="1">
      <alignment horizontal="center"/>
    </xf>
    <xf numFmtId="0" fontId="4" fillId="0" borderId="0" xfId="263" applyFont="1" applyFill="1" applyAlignment="1">
      <alignment horizontal="center"/>
    </xf>
    <xf numFmtId="0" fontId="29" fillId="0" borderId="0" xfId="263" applyFont="1" applyFill="1" applyBorder="1"/>
    <xf numFmtId="0" fontId="9" fillId="0" borderId="0" xfId="263" applyFont="1" applyAlignment="1">
      <alignment horizontal="center"/>
    </xf>
    <xf numFmtId="41" fontId="4" fillId="0" borderId="13" xfId="263"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263" applyNumberFormat="1" applyFont="1" applyFill="1"/>
    <xf numFmtId="3" fontId="4" fillId="0" borderId="0" xfId="0" applyNumberFormat="1" applyFont="1" applyFill="1" applyAlignment="1"/>
    <xf numFmtId="41" fontId="26" fillId="25" borderId="0" xfId="263" applyNumberFormat="1" applyFont="1" applyFill="1" applyBorder="1"/>
    <xf numFmtId="0" fontId="6" fillId="0" borderId="0" xfId="222" applyFont="1" applyFill="1" applyBorder="1" applyAlignment="1">
      <alignment horizontal="left"/>
    </xf>
    <xf numFmtId="0" fontId="11" fillId="0" borderId="0" xfId="222" applyFont="1" applyBorder="1" applyAlignment="1"/>
    <xf numFmtId="0" fontId="11" fillId="0" borderId="0" xfId="222" applyFont="1" applyBorder="1" applyAlignment="1">
      <alignment horizontal="center"/>
    </xf>
    <xf numFmtId="0" fontId="11" fillId="0" borderId="0" xfId="222" applyFont="1" applyBorder="1"/>
    <xf numFmtId="0" fontId="11" fillId="0" borderId="0" xfId="222" applyNumberFormat="1" applyFont="1" applyFill="1" applyBorder="1" applyAlignment="1">
      <alignment horizontal="left"/>
    </xf>
    <xf numFmtId="0" fontId="8" fillId="0" borderId="0" xfId="222" applyNumberFormat="1" applyFont="1" applyFill="1" applyBorder="1" applyAlignment="1">
      <alignment horizontal="left"/>
    </xf>
    <xf numFmtId="0" fontId="11" fillId="0" borderId="0" xfId="222" applyFont="1" applyFill="1" applyBorder="1" applyAlignment="1">
      <alignment horizontal="center" wrapText="1"/>
    </xf>
    <xf numFmtId="3" fontId="11" fillId="0" borderId="0" xfId="222" applyNumberFormat="1" applyFont="1" applyFill="1" applyBorder="1" applyAlignment="1"/>
    <xf numFmtId="0" fontId="11" fillId="0" borderId="0" xfId="222" applyFont="1" applyFill="1" applyBorder="1" applyAlignment="1"/>
    <xf numFmtId="0" fontId="11" fillId="0" borderId="0" xfId="222" applyNumberFormat="1" applyFont="1" applyFill="1" applyBorder="1" applyAlignment="1">
      <alignment horizontal="center"/>
    </xf>
    <xf numFmtId="173" fontId="11" fillId="0" borderId="0" xfId="90" applyNumberFormat="1" applyFont="1" applyFill="1" applyBorder="1" applyAlignment="1">
      <alignment horizontal="right"/>
    </xf>
    <xf numFmtId="0" fontId="7" fillId="0" borderId="0" xfId="222" applyFont="1" applyFill="1" applyBorder="1" applyAlignment="1"/>
    <xf numFmtId="0" fontId="11" fillId="0" borderId="0" xfId="222" applyFont="1" applyFill="1" applyBorder="1"/>
    <xf numFmtId="0" fontId="8" fillId="0" borderId="0" xfId="222" applyFont="1" applyBorder="1" applyAlignment="1"/>
    <xf numFmtId="0" fontId="8" fillId="0" borderId="0" xfId="222" applyNumberFormat="1" applyFont="1" applyFill="1" applyBorder="1" applyAlignment="1">
      <alignment horizontal="center"/>
    </xf>
    <xf numFmtId="164" fontId="11" fillId="0" borderId="0" xfId="285" applyNumberFormat="1" applyFont="1" applyFill="1" applyBorder="1" applyAlignment="1"/>
    <xf numFmtId="173" fontId="11" fillId="0" borderId="0" xfId="90" applyNumberFormat="1" applyFont="1" applyFill="1" applyBorder="1" applyAlignment="1">
      <alignment horizontal="left"/>
    </xf>
    <xf numFmtId="0" fontId="11" fillId="0" borderId="0" xfId="222" applyFont="1" applyFill="1" applyBorder="1" applyAlignment="1">
      <alignment horizontal="center"/>
    </xf>
    <xf numFmtId="3" fontId="11" fillId="0" borderId="0" xfId="222" applyNumberFormat="1" applyFont="1" applyFill="1" applyBorder="1" applyAlignment="1">
      <alignment horizontal="right"/>
    </xf>
    <xf numFmtId="3" fontId="11" fillId="0" borderId="0" xfId="222"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263" applyFont="1" applyFill="1"/>
    <xf numFmtId="0" fontId="16" fillId="0" borderId="0" xfId="222" applyFont="1" applyFill="1" applyBorder="1" applyAlignment="1">
      <alignment horizontal="left"/>
    </xf>
    <xf numFmtId="0" fontId="8" fillId="0" borderId="0" xfId="222" applyFont="1" applyFill="1" applyBorder="1" applyAlignment="1">
      <alignment horizontal="left"/>
    </xf>
    <xf numFmtId="0" fontId="8" fillId="0" borderId="0" xfId="222" applyFont="1" applyFill="1" applyBorder="1" applyAlignment="1">
      <alignment horizontal="center"/>
    </xf>
    <xf numFmtId="173" fontId="11" fillId="0" borderId="14" xfId="90" applyNumberFormat="1" applyFont="1" applyFill="1" applyBorder="1" applyAlignment="1">
      <alignment horizontal="right"/>
    </xf>
    <xf numFmtId="0" fontId="8" fillId="0" borderId="0" xfId="222" applyFont="1" applyBorder="1" applyAlignment="1">
      <alignment horizontal="center"/>
    </xf>
    <xf numFmtId="0" fontId="11" fillId="0" borderId="0" xfId="263" applyFont="1" applyAlignment="1">
      <alignment horizontal="center"/>
    </xf>
    <xf numFmtId="0" fontId="4" fillId="0" borderId="0" xfId="222" applyFont="1" applyBorder="1" applyAlignment="1">
      <alignment horizontal="center"/>
    </xf>
    <xf numFmtId="49" fontId="4" fillId="0" borderId="0" xfId="263" applyNumberFormat="1" applyFont="1" applyAlignment="1">
      <alignment horizontal="center"/>
    </xf>
    <xf numFmtId="0" fontId="0" fillId="0" borderId="0" xfId="0" applyAlignment="1">
      <alignment horizontal="right"/>
    </xf>
    <xf numFmtId="0" fontId="8" fillId="0" borderId="0" xfId="222" applyFont="1" applyBorder="1"/>
    <xf numFmtId="3" fontId="9" fillId="0" borderId="0" xfId="0" applyNumberFormat="1" applyFont="1" applyFill="1" applyAlignment="1">
      <alignment horizontal="center"/>
    </xf>
    <xf numFmtId="173" fontId="1" fillId="0" borderId="0" xfId="86" applyNumberFormat="1"/>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86" applyNumberFormat="1" applyFont="1"/>
    <xf numFmtId="10" fontId="11" fillId="0" borderId="0" xfId="0" applyNumberFormat="1" applyFont="1"/>
    <xf numFmtId="173" fontId="1" fillId="0" borderId="0" xfId="86" applyNumberFormat="1" applyFill="1"/>
    <xf numFmtId="10" fontId="0" fillId="0" borderId="0" xfId="0" applyNumberFormat="1"/>
    <xf numFmtId="184" fontId="17" fillId="0" borderId="0" xfId="274" applyNumberFormat="1" applyFont="1"/>
    <xf numFmtId="0" fontId="70" fillId="0" borderId="0" xfId="274" applyFont="1"/>
    <xf numFmtId="184" fontId="17" fillId="0" borderId="0" xfId="274" applyNumberFormat="1" applyFont="1" applyAlignment="1">
      <alignment horizontal="center"/>
    </xf>
    <xf numFmtId="0" fontId="11" fillId="0" borderId="0" xfId="274" applyFont="1"/>
    <xf numFmtId="0" fontId="17" fillId="0" borderId="0" xfId="274" applyFont="1"/>
    <xf numFmtId="0" fontId="17" fillId="0" borderId="0" xfId="274" applyNumberFormat="1" applyFont="1" applyAlignment="1">
      <alignment horizontal="center"/>
    </xf>
    <xf numFmtId="0" fontId="17" fillId="0" borderId="0" xfId="274" applyNumberFormat="1" applyFont="1"/>
    <xf numFmtId="0" fontId="17" fillId="0" borderId="0" xfId="274" applyNumberFormat="1" applyFont="1" applyBorder="1" applyAlignment="1">
      <alignment horizontal="center"/>
    </xf>
    <xf numFmtId="184" fontId="71" fillId="0" borderId="0" xfId="274" applyNumberFormat="1" applyFont="1"/>
    <xf numFmtId="0" fontId="72" fillId="0" borderId="0" xfId="274" applyFont="1"/>
    <xf numFmtId="173" fontId="70" fillId="0" borderId="0" xfId="274" applyNumberFormat="1" applyFont="1"/>
    <xf numFmtId="0" fontId="73" fillId="0" borderId="0" xfId="274" applyFont="1"/>
    <xf numFmtId="184" fontId="11" fillId="0" borderId="0" xfId="274" applyNumberFormat="1" applyFont="1"/>
    <xf numFmtId="0" fontId="74" fillId="0" borderId="0" xfId="270" applyFont="1" applyFill="1" applyAlignment="1">
      <alignment horizontal="center"/>
    </xf>
    <xf numFmtId="0" fontId="74" fillId="0" borderId="0" xfId="270" applyFont="1" applyFill="1" applyAlignment="1">
      <alignment horizontal="left" indent="2"/>
    </xf>
    <xf numFmtId="39" fontId="74" fillId="0" borderId="0" xfId="270" applyNumberFormat="1" applyFont="1" applyFill="1"/>
    <xf numFmtId="0" fontId="70" fillId="0" borderId="0" xfId="274" applyFont="1" applyFill="1"/>
    <xf numFmtId="0" fontId="11" fillId="0" borderId="0" xfId="274" applyNumberFormat="1" applyFont="1" applyAlignment="1">
      <alignment horizontal="center"/>
    </xf>
    <xf numFmtId="0" fontId="11" fillId="0" borderId="0" xfId="274" applyNumberFormat="1" applyFont="1"/>
    <xf numFmtId="184" fontId="4" fillId="0" borderId="0" xfId="274" applyNumberFormat="1" applyFont="1"/>
    <xf numFmtId="43" fontId="4" fillId="0" borderId="0" xfId="86"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74" applyNumberFormat="1" applyFont="1" applyBorder="1"/>
    <xf numFmtId="10" fontId="4" fillId="0" borderId="14" xfId="0" applyNumberFormat="1" applyFont="1" applyFill="1" applyBorder="1" applyAlignment="1"/>
    <xf numFmtId="173" fontId="0" fillId="0" borderId="0" xfId="86" applyNumberFormat="1" applyFont="1" applyFill="1"/>
    <xf numFmtId="173" fontId="0" fillId="0" borderId="0" xfId="0" applyNumberFormat="1"/>
    <xf numFmtId="41" fontId="11" fillId="0" borderId="0" xfId="263" applyNumberFormat="1" applyFont="1"/>
    <xf numFmtId="173" fontId="11" fillId="0" borderId="0" xfId="86" applyNumberFormat="1" applyFont="1" applyFill="1"/>
    <xf numFmtId="0" fontId="8" fillId="0" borderId="0" xfId="263" applyFont="1" applyAlignment="1">
      <alignment horizontal="center" wrapText="1"/>
    </xf>
    <xf numFmtId="38" fontId="11" fillId="0" borderId="0" xfId="0" applyNumberFormat="1" applyFont="1" applyFill="1" applyBorder="1" applyAlignment="1">
      <alignment horizontal="center"/>
    </xf>
    <xf numFmtId="0" fontId="1" fillId="0" borderId="0" xfId="263" applyFill="1" applyAlignment="1">
      <alignment horizontal="left"/>
    </xf>
    <xf numFmtId="0" fontId="77" fillId="0" borderId="0" xfId="263" applyFont="1" applyFill="1" applyBorder="1" applyAlignment="1">
      <alignment horizontal="left"/>
    </xf>
    <xf numFmtId="0" fontId="1" fillId="0" borderId="0" xfId="263" applyFill="1"/>
    <xf numFmtId="0" fontId="77" fillId="0" borderId="0" xfId="263" applyFont="1" applyFill="1" applyBorder="1"/>
    <xf numFmtId="0" fontId="68" fillId="0" borderId="0" xfId="263" applyFont="1" applyFill="1" applyAlignment="1">
      <alignment horizontal="center"/>
    </xf>
    <xf numFmtId="38" fontId="11" fillId="0" borderId="15" xfId="0" applyNumberFormat="1" applyFont="1" applyFill="1" applyBorder="1"/>
    <xf numFmtId="38" fontId="11" fillId="0" borderId="0" xfId="0" applyNumberFormat="1" applyFont="1" applyFill="1" applyBorder="1"/>
    <xf numFmtId="0" fontId="78" fillId="0" borderId="0" xfId="222" applyNumberFormat="1" applyFont="1" applyFill="1" applyBorder="1" applyAlignment="1">
      <alignment horizontal="left"/>
    </xf>
    <xf numFmtId="38" fontId="11" fillId="0" borderId="0" xfId="222" applyNumberFormat="1" applyFont="1" applyFill="1" applyBorder="1" applyAlignment="1">
      <alignment horizontal="right"/>
    </xf>
    <xf numFmtId="0" fontId="11" fillId="0" borderId="0" xfId="222"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22" applyFont="1" applyBorder="1" applyAlignment="1">
      <alignment horizontal="center"/>
    </xf>
    <xf numFmtId="38" fontId="7" fillId="0" borderId="0" xfId="222" applyNumberFormat="1" applyFont="1" applyFill="1" applyBorder="1" applyAlignment="1"/>
    <xf numFmtId="173" fontId="7" fillId="0" borderId="14" xfId="86" applyNumberFormat="1" applyFont="1" applyFill="1" applyBorder="1" applyAlignment="1"/>
    <xf numFmtId="0" fontId="11" fillId="0" borderId="14" xfId="222" applyNumberFormat="1" applyFont="1" applyFill="1" applyBorder="1" applyAlignment="1">
      <alignment horizontal="left"/>
    </xf>
    <xf numFmtId="0" fontId="17" fillId="0" borderId="0" xfId="274" applyNumberFormat="1" applyFont="1" applyFill="1" applyAlignment="1">
      <alignment horizontal="center"/>
    </xf>
    <xf numFmtId="0" fontId="11" fillId="0" borderId="0" xfId="274" applyNumberFormat="1" applyFont="1" applyFill="1"/>
    <xf numFmtId="173" fontId="70" fillId="0" borderId="0" xfId="274" applyNumberFormat="1" applyFont="1" applyFill="1"/>
    <xf numFmtId="173" fontId="70" fillId="0" borderId="0" xfId="86" applyNumberFormat="1" applyFont="1" applyFill="1"/>
    <xf numFmtId="3" fontId="3" fillId="0" borderId="0" xfId="0" applyNumberFormat="1" applyFont="1" applyAlignment="1">
      <alignment horizontal="center"/>
    </xf>
    <xf numFmtId="10" fontId="11" fillId="0" borderId="0" xfId="282"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282" applyNumberFormat="1" applyFont="1"/>
    <xf numFmtId="174" fontId="1" fillId="0" borderId="0" xfId="123" applyNumberFormat="1"/>
    <xf numFmtId="0" fontId="3" fillId="0" borderId="0" xfId="0" applyFont="1" applyAlignment="1">
      <alignment horizontal="right"/>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xf numFmtId="0" fontId="16" fillId="0" borderId="0" xfId="0" applyFont="1" applyAlignment="1">
      <alignment horizontal="left"/>
    </xf>
    <xf numFmtId="0" fontId="3"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4" fillId="0" borderId="0" xfId="263" applyFont="1"/>
    <xf numFmtId="0" fontId="1" fillId="0" borderId="0" xfId="263" applyAlignment="1">
      <alignment horizontal="left"/>
    </xf>
    <xf numFmtId="0" fontId="1" fillId="0" borderId="0" xfId="263"/>
    <xf numFmtId="0" fontId="14" fillId="0" borderId="0" xfId="263" applyFont="1" applyAlignment="1">
      <alignment horizontal="left"/>
    </xf>
    <xf numFmtId="173" fontId="11" fillId="0" borderId="0" xfId="222" applyNumberFormat="1" applyFont="1" applyFill="1" applyBorder="1"/>
    <xf numFmtId="0" fontId="11" fillId="25" borderId="0" xfId="222" applyNumberFormat="1" applyFont="1" applyFill="1" applyBorder="1" applyAlignment="1">
      <alignment horizontal="center"/>
    </xf>
    <xf numFmtId="0" fontId="8" fillId="25" borderId="0" xfId="222" applyNumberFormat="1" applyFont="1" applyFill="1" applyBorder="1" applyAlignment="1">
      <alignment horizontal="left"/>
    </xf>
    <xf numFmtId="0" fontId="7" fillId="25" borderId="0" xfId="222" applyFont="1" applyFill="1" applyBorder="1" applyAlignment="1"/>
    <xf numFmtId="0" fontId="11" fillId="25" borderId="0" xfId="222" applyNumberFormat="1" applyFont="1" applyFill="1" applyBorder="1" applyAlignment="1">
      <alignment horizontal="left"/>
    </xf>
    <xf numFmtId="0" fontId="11" fillId="25" borderId="0" xfId="222" applyFont="1" applyFill="1" applyBorder="1"/>
    <xf numFmtId="173" fontId="11" fillId="25" borderId="0" xfId="90" applyNumberFormat="1" applyFont="1" applyFill="1" applyBorder="1" applyAlignment="1">
      <alignment horizontal="right"/>
    </xf>
    <xf numFmtId="0" fontId="0" fillId="25" borderId="0" xfId="0" applyFill="1" applyBorder="1"/>
    <xf numFmtId="164" fontId="11" fillId="25" borderId="0" xfId="285" applyNumberFormat="1" applyFont="1" applyFill="1" applyBorder="1" applyAlignment="1"/>
    <xf numFmtId="173" fontId="11" fillId="25" borderId="0" xfId="90" applyNumberFormat="1" applyFont="1" applyFill="1" applyBorder="1" applyAlignment="1">
      <alignment horizontal="left"/>
    </xf>
    <xf numFmtId="0" fontId="14" fillId="0" borderId="0" xfId="263" applyFont="1" applyAlignment="1"/>
    <xf numFmtId="0" fontId="12" fillId="0" borderId="0" xfId="0" applyFont="1" applyBorder="1"/>
    <xf numFmtId="0" fontId="16" fillId="0" borderId="0" xfId="222" applyFont="1" applyFill="1" applyBorder="1" applyAlignment="1">
      <alignment horizontal="center"/>
    </xf>
    <xf numFmtId="0" fontId="12" fillId="0" borderId="0" xfId="222" applyNumberFormat="1" applyFont="1" applyFill="1" applyBorder="1" applyAlignment="1">
      <alignment horizontal="left"/>
    </xf>
    <xf numFmtId="173" fontId="12" fillId="0" borderId="0" xfId="90" applyNumberFormat="1" applyFont="1" applyFill="1" applyBorder="1" applyAlignment="1">
      <alignment horizontal="right"/>
    </xf>
    <xf numFmtId="0" fontId="13" fillId="0" borderId="0" xfId="263" applyFont="1" applyFill="1"/>
    <xf numFmtId="0" fontId="80" fillId="0" borderId="0" xfId="263" applyFont="1" applyFill="1"/>
    <xf numFmtId="9" fontId="9" fillId="0" borderId="0" xfId="263" quotePrefix="1" applyNumberFormat="1" applyFont="1" applyFill="1" applyAlignment="1">
      <alignment horizontal="center"/>
    </xf>
    <xf numFmtId="0" fontId="3" fillId="0" borderId="0" xfId="274" applyNumberFormat="1" applyFont="1" applyAlignment="1">
      <alignment horizontal="center"/>
    </xf>
    <xf numFmtId="0" fontId="3" fillId="0" borderId="0" xfId="274" applyNumberFormat="1" applyFont="1"/>
    <xf numFmtId="184" fontId="3" fillId="0" borderId="0" xfId="274" applyNumberFormat="1" applyFont="1" applyAlignment="1">
      <alignment horizontal="center"/>
    </xf>
    <xf numFmtId="0" fontId="8" fillId="0" borderId="0" xfId="274" applyFont="1"/>
    <xf numFmtId="0" fontId="3" fillId="0" borderId="11" xfId="274" applyNumberFormat="1" applyFont="1" applyBorder="1" applyAlignment="1">
      <alignment horizontal="center"/>
    </xf>
    <xf numFmtId="184" fontId="3" fillId="0" borderId="11" xfId="274" applyNumberFormat="1" applyFont="1" applyBorder="1" applyAlignment="1">
      <alignment horizontal="center"/>
    </xf>
    <xf numFmtId="0" fontId="73" fillId="0" borderId="11" xfId="274" applyFont="1" applyBorder="1" applyAlignment="1">
      <alignment horizontal="center"/>
    </xf>
    <xf numFmtId="0" fontId="8" fillId="0" borderId="0" xfId="274" applyFont="1" applyAlignment="1">
      <alignment horizontal="center"/>
    </xf>
    <xf numFmtId="6" fontId="11" fillId="0" borderId="0" xfId="0" applyNumberFormat="1" applyFont="1" applyAlignment="1">
      <alignment horizontal="right"/>
    </xf>
    <xf numFmtId="174" fontId="0" fillId="0" borderId="0" xfId="123"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73" fontId="82" fillId="0" borderId="0" xfId="86" applyNumberFormat="1" applyFont="1" applyFill="1"/>
    <xf numFmtId="0" fontId="86" fillId="0" borderId="0" xfId="0" applyFont="1" applyBorder="1" applyAlignment="1">
      <alignment horizontal="center"/>
    </xf>
    <xf numFmtId="0" fontId="85" fillId="0" borderId="0" xfId="263" applyFont="1" applyFill="1" applyAlignment="1">
      <alignment horizontal="center"/>
    </xf>
    <xf numFmtId="0" fontId="4" fillId="0" borderId="0" xfId="274" applyFont="1"/>
    <xf numFmtId="173" fontId="4" fillId="0" borderId="0" xfId="274" applyNumberFormat="1" applyFont="1"/>
    <xf numFmtId="164" fontId="0" fillId="0" borderId="0" xfId="282" applyNumberFormat="1" applyFont="1"/>
    <xf numFmtId="173" fontId="89" fillId="0" borderId="0" xfId="274" applyNumberFormat="1" applyFont="1" applyFill="1" applyBorder="1"/>
    <xf numFmtId="0" fontId="22" fillId="0" borderId="0" xfId="263" applyFont="1" applyFill="1" applyAlignment="1">
      <alignment horizontal="center"/>
    </xf>
    <xf numFmtId="37" fontId="11" fillId="0" borderId="15" xfId="0" applyNumberFormat="1" applyFont="1" applyFill="1" applyBorder="1"/>
    <xf numFmtId="37" fontId="11" fillId="0" borderId="0" xfId="222" applyNumberFormat="1" applyFont="1" applyFill="1" applyBorder="1" applyAlignment="1">
      <alignment horizontal="right"/>
    </xf>
    <xf numFmtId="37" fontId="7" fillId="0" borderId="0" xfId="222" applyNumberFormat="1" applyFont="1" applyFill="1" applyBorder="1" applyAlignment="1"/>
    <xf numFmtId="0" fontId="92" fillId="0" borderId="0" xfId="263"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282" applyFont="1"/>
    <xf numFmtId="0" fontId="94" fillId="0" borderId="0" xfId="0" applyFont="1" applyAlignment="1">
      <alignment horizontal="center" wrapText="1"/>
    </xf>
    <xf numFmtId="0" fontId="17" fillId="0" borderId="0" xfId="270" applyFont="1" applyFill="1" applyAlignment="1">
      <alignment horizontal="center"/>
    </xf>
    <xf numFmtId="0" fontId="31" fillId="0" borderId="0" xfId="263" applyFont="1" applyFill="1" applyAlignment="1">
      <alignment horizontal="left"/>
    </xf>
    <xf numFmtId="0" fontId="31" fillId="0" borderId="0" xfId="263" applyFont="1" applyFill="1"/>
    <xf numFmtId="0" fontId="96" fillId="0" borderId="0" xfId="263" applyFont="1" applyFill="1" applyAlignment="1">
      <alignment horizontal="center"/>
    </xf>
    <xf numFmtId="0" fontId="97" fillId="0" borderId="0" xfId="263" applyFont="1" applyFill="1" applyBorder="1"/>
    <xf numFmtId="188" fontId="98" fillId="0" borderId="0" xfId="222"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22" applyNumberFormat="1" applyFont="1" applyBorder="1" applyAlignment="1">
      <alignment horizontal="center"/>
    </xf>
    <xf numFmtId="0" fontId="0" fillId="0" borderId="0" xfId="0" applyFill="1" applyAlignment="1"/>
    <xf numFmtId="0" fontId="11" fillId="0" borderId="0" xfId="0" applyFont="1" applyFill="1" applyAlignment="1">
      <alignment horizontal="centerContinuous"/>
    </xf>
    <xf numFmtId="43" fontId="4" fillId="0" borderId="0" xfId="86" applyFont="1" applyAlignment="1">
      <alignment horizontal="center"/>
    </xf>
    <xf numFmtId="43" fontId="4" fillId="0" borderId="0" xfId="86" applyFont="1" applyBorder="1" applyAlignment="1">
      <alignment horizontal="center"/>
    </xf>
    <xf numFmtId="43" fontId="3" fillId="0" borderId="0" xfId="86" applyFont="1" applyBorder="1" applyAlignment="1">
      <alignment horizontal="center"/>
    </xf>
    <xf numFmtId="43" fontId="3" fillId="0" borderId="0" xfId="86" applyFont="1" applyAlignment="1">
      <alignment horizontal="center"/>
    </xf>
    <xf numFmtId="43" fontId="14" fillId="0" borderId="0" xfId="86" applyFont="1"/>
    <xf numFmtId="0" fontId="5" fillId="0" borderId="0" xfId="263" applyFont="1" applyFill="1" applyBorder="1" applyAlignment="1">
      <alignment horizontal="center"/>
    </xf>
    <xf numFmtId="0" fontId="4" fillId="0" borderId="0" xfId="0" applyFont="1" applyBorder="1" applyAlignment="1">
      <alignment horizontal="center"/>
    </xf>
    <xf numFmtId="0" fontId="3" fillId="0" borderId="0" xfId="274" applyNumberFormat="1" applyFont="1" applyBorder="1" applyAlignment="1">
      <alignment horizontal="center"/>
    </xf>
    <xf numFmtId="0" fontId="11" fillId="0" borderId="0" xfId="274" applyFont="1" applyBorder="1"/>
    <xf numFmtId="0" fontId="3" fillId="0" borderId="11" xfId="274" applyNumberFormat="1" applyFont="1" applyBorder="1"/>
    <xf numFmtId="184" fontId="3" fillId="0" borderId="0" xfId="274" applyNumberFormat="1" applyFont="1" applyBorder="1" applyAlignment="1">
      <alignment horizontal="center"/>
    </xf>
    <xf numFmtId="0" fontId="11" fillId="0" borderId="0" xfId="274" applyFont="1" applyFill="1"/>
    <xf numFmtId="0" fontId="70" fillId="0" borderId="0" xfId="274" applyFont="1" applyAlignment="1">
      <alignment horizontal="center"/>
    </xf>
    <xf numFmtId="173" fontId="76" fillId="0" borderId="0" xfId="274" applyNumberFormat="1" applyFont="1" applyFill="1" applyBorder="1"/>
    <xf numFmtId="0" fontId="17" fillId="0" borderId="0" xfId="274" applyFont="1" applyFill="1"/>
    <xf numFmtId="3" fontId="76" fillId="0" borderId="0" xfId="274" applyNumberFormat="1" applyFont="1" applyFill="1" applyBorder="1"/>
    <xf numFmtId="173" fontId="76" fillId="0" borderId="0" xfId="274" applyNumberFormat="1" applyFont="1" applyFill="1"/>
    <xf numFmtId="0" fontId="0" fillId="0" borderId="0" xfId="0" applyBorder="1" applyAlignment="1">
      <alignment horizontal="center"/>
    </xf>
    <xf numFmtId="0" fontId="70" fillId="0" borderId="0" xfId="274" applyFont="1" applyFill="1" applyBorder="1"/>
    <xf numFmtId="173" fontId="70" fillId="0" borderId="0" xfId="274" applyNumberFormat="1" applyFont="1" applyFill="1" applyBorder="1"/>
    <xf numFmtId="0" fontId="21" fillId="0" borderId="0" xfId="263" applyFont="1" applyFill="1" applyBorder="1"/>
    <xf numFmtId="38" fontId="25" fillId="0" borderId="13" xfId="263" applyNumberFormat="1" applyFont="1" applyFill="1" applyBorder="1" applyAlignment="1">
      <alignment horizontal="right"/>
    </xf>
    <xf numFmtId="0" fontId="31" fillId="0" borderId="0" xfId="263" applyFont="1" applyAlignment="1">
      <alignment horizontal="center"/>
    </xf>
    <xf numFmtId="0" fontId="74" fillId="0" borderId="0" xfId="274" applyNumberFormat="1" applyFont="1" applyFill="1"/>
    <xf numFmtId="10" fontId="2" fillId="0" borderId="0" xfId="275" applyNumberFormat="1" applyProtection="1"/>
    <xf numFmtId="10" fontId="2" fillId="0" borderId="16" xfId="275" applyNumberFormat="1" applyBorder="1" applyProtection="1"/>
    <xf numFmtId="192" fontId="2" fillId="0" borderId="16" xfId="275" applyNumberFormat="1" applyBorder="1" applyProtection="1"/>
    <xf numFmtId="175" fontId="2" fillId="0" borderId="16" xfId="275" applyNumberFormat="1" applyBorder="1" applyProtection="1"/>
    <xf numFmtId="191" fontId="2" fillId="0" borderId="16" xfId="275" applyNumberFormat="1" applyBorder="1" applyProtection="1"/>
    <xf numFmtId="194" fontId="2" fillId="0" borderId="0" xfId="275" applyNumberFormat="1" applyProtection="1"/>
    <xf numFmtId="175" fontId="2" fillId="0" borderId="0" xfId="275" applyNumberFormat="1" applyProtection="1"/>
    <xf numFmtId="191" fontId="2" fillId="0" borderId="0" xfId="275" applyNumberFormat="1" applyProtection="1"/>
    <xf numFmtId="10" fontId="111" fillId="0" borderId="0" xfId="275" applyNumberFormat="1" applyFont="1" applyProtection="1"/>
    <xf numFmtId="173" fontId="114" fillId="0" borderId="0" xfId="0" applyNumberFormat="1" applyFont="1"/>
    <xf numFmtId="0" fontId="101" fillId="0" borderId="0" xfId="222" applyFont="1" applyFill="1" applyBorder="1" applyAlignment="1">
      <alignment horizontal="center"/>
    </xf>
    <xf numFmtId="0" fontId="94" fillId="0" borderId="0" xfId="222" applyFont="1" applyFill="1" applyBorder="1" applyAlignment="1">
      <alignment horizontal="left"/>
    </xf>
    <xf numFmtId="0" fontId="31" fillId="0" borderId="0" xfId="222" applyNumberFormat="1" applyFont="1" applyFill="1" applyBorder="1" applyAlignment="1">
      <alignment horizontal="center"/>
    </xf>
    <xf numFmtId="0" fontId="31" fillId="0" borderId="0" xfId="222" applyNumberFormat="1" applyFont="1" applyFill="1" applyBorder="1" applyAlignment="1">
      <alignment horizontal="left"/>
    </xf>
    <xf numFmtId="0" fontId="31" fillId="0" borderId="0" xfId="222" applyFont="1" applyFill="1" applyBorder="1" applyAlignment="1"/>
    <xf numFmtId="0" fontId="31" fillId="0" borderId="0" xfId="222" applyFont="1" applyFill="1" applyBorder="1" applyAlignment="1">
      <alignment horizontal="center"/>
    </xf>
    <xf numFmtId="0" fontId="31" fillId="0" borderId="0" xfId="222" applyFont="1" applyBorder="1"/>
    <xf numFmtId="0" fontId="31" fillId="0" borderId="0" xfId="222" applyFont="1" applyFill="1" applyBorder="1"/>
    <xf numFmtId="3" fontId="31" fillId="0" borderId="0" xfId="222" applyNumberFormat="1" applyFont="1" applyFill="1" applyBorder="1" applyAlignment="1"/>
    <xf numFmtId="0" fontId="101" fillId="0" borderId="0" xfId="222" applyFont="1" applyFill="1" applyBorder="1"/>
    <xf numFmtId="38" fontId="11" fillId="0" borderId="0" xfId="0" applyNumberFormat="1" applyFont="1" applyBorder="1"/>
    <xf numFmtId="0" fontId="31" fillId="0" borderId="0" xfId="263" applyFont="1" applyFill="1" applyBorder="1"/>
    <xf numFmtId="0" fontId="113" fillId="0" borderId="0" xfId="263" applyFont="1" applyFill="1" applyAlignment="1">
      <alignment horizontal="center"/>
    </xf>
    <xf numFmtId="0" fontId="11" fillId="0" borderId="0" xfId="263" applyFont="1" applyFill="1" applyBorder="1"/>
    <xf numFmtId="0" fontId="94" fillId="0" borderId="0" xfId="0" applyFont="1" applyAlignment="1">
      <alignment horizontal="center"/>
    </xf>
    <xf numFmtId="41" fontId="0" fillId="0" borderId="0" xfId="0" applyNumberFormat="1" applyFill="1"/>
    <xf numFmtId="37" fontId="115"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63" applyNumberFormat="1" applyFont="1" applyFill="1" applyBorder="1"/>
    <xf numFmtId="3" fontId="18" fillId="26" borderId="0" xfId="0" applyNumberFormat="1" applyFont="1" applyFill="1" applyAlignment="1"/>
    <xf numFmtId="3" fontId="18" fillId="26" borderId="0" xfId="0" applyNumberFormat="1" applyFont="1" applyFill="1" applyBorder="1" applyAlignment="1"/>
    <xf numFmtId="173" fontId="76" fillId="26" borderId="0" xfId="274" applyNumberFormat="1" applyFont="1" applyFill="1" applyBorder="1"/>
    <xf numFmtId="0" fontId="70" fillId="26" borderId="0" xfId="274" applyFont="1" applyFill="1" applyAlignment="1">
      <alignment horizontal="center"/>
    </xf>
    <xf numFmtId="174" fontId="0" fillId="0" borderId="0" xfId="123" applyNumberFormat="1" applyFont="1"/>
    <xf numFmtId="0" fontId="11" fillId="0" borderId="0" xfId="263" applyFont="1" applyFill="1" applyAlignment="1">
      <alignment horizontal="center"/>
    </xf>
    <xf numFmtId="3" fontId="31" fillId="26" borderId="0" xfId="222" applyNumberFormat="1" applyFont="1" applyFill="1" applyBorder="1" applyAlignment="1"/>
    <xf numFmtId="0" fontId="4" fillId="26" borderId="0" xfId="0" applyFont="1" applyFill="1"/>
    <xf numFmtId="174" fontId="0" fillId="0" borderId="0" xfId="0" applyNumberFormat="1" applyBorder="1"/>
    <xf numFmtId="6" fontId="11" fillId="0" borderId="0" xfId="0" applyNumberFormat="1" applyFont="1" applyBorder="1" applyAlignment="1">
      <alignment horizontal="right"/>
    </xf>
    <xf numFmtId="0" fontId="73" fillId="0" borderId="0" xfId="274" applyFont="1" applyFill="1"/>
    <xf numFmtId="0" fontId="70" fillId="26" borderId="0" xfId="274" applyFont="1" applyFill="1"/>
    <xf numFmtId="10" fontId="2" fillId="0" borderId="0" xfId="275" applyNumberFormat="1" applyBorder="1" applyProtection="1"/>
    <xf numFmtId="192" fontId="2" fillId="0" borderId="0" xfId="275" applyNumberFormat="1" applyBorder="1" applyProtection="1"/>
    <xf numFmtId="191" fontId="2" fillId="0" borderId="0" xfId="275" applyNumberFormat="1" applyBorder="1" applyProtection="1"/>
    <xf numFmtId="175" fontId="2" fillId="0" borderId="0" xfId="275" applyNumberFormat="1" applyBorder="1" applyProtection="1"/>
    <xf numFmtId="172" fontId="2" fillId="0" borderId="0" xfId="273" applyFont="1" applyAlignment="1" applyProtection="1"/>
    <xf numFmtId="172" fontId="4" fillId="0" borderId="0" xfId="273" applyFont="1" applyAlignment="1" applyProtection="1"/>
    <xf numFmtId="0" fontId="0" fillId="0" borderId="0" xfId="0" applyBorder="1" applyProtection="1"/>
    <xf numFmtId="0" fontId="5" fillId="0" borderId="0" xfId="273" applyNumberFormat="1" applyFont="1" applyBorder="1" applyAlignment="1" applyProtection="1">
      <alignment horizontal="left"/>
    </xf>
    <xf numFmtId="14" fontId="5" fillId="0" borderId="0" xfId="273" applyNumberFormat="1" applyFont="1" applyBorder="1" applyAlignment="1" applyProtection="1"/>
    <xf numFmtId="172" fontId="5" fillId="0" borderId="0" xfId="273" applyFont="1" applyFill="1" applyAlignment="1" applyProtection="1"/>
    <xf numFmtId="172" fontId="4" fillId="0" borderId="0" xfId="273" applyFont="1" applyFill="1" applyAlignment="1" applyProtection="1"/>
    <xf numFmtId="0" fontId="4" fillId="0" borderId="0" xfId="273"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73" applyNumberFormat="1" applyFont="1" applyProtection="1"/>
    <xf numFmtId="0" fontId="4" fillId="0" borderId="0" xfId="273" applyNumberFormat="1" applyFont="1" applyAlignment="1" applyProtection="1">
      <alignment horizontal="right"/>
    </xf>
    <xf numFmtId="0" fontId="18" fillId="0" borderId="0" xfId="86" applyNumberFormat="1" applyFont="1" applyFill="1" applyAlignment="1" applyProtection="1"/>
    <xf numFmtId="3" fontId="4" fillId="0" borderId="0" xfId="273" applyNumberFormat="1" applyFont="1" applyAlignment="1" applyProtection="1"/>
    <xf numFmtId="3" fontId="4" fillId="0" borderId="0" xfId="0" applyNumberFormat="1" applyFont="1" applyAlignment="1" applyProtection="1">
      <alignment horizontal="center"/>
    </xf>
    <xf numFmtId="0" fontId="2" fillId="0" borderId="0" xfId="273" applyNumberFormat="1" applyFont="1" applyAlignment="1" applyProtection="1">
      <alignment horizontal="center"/>
    </xf>
    <xf numFmtId="0" fontId="4" fillId="0" borderId="0" xfId="273" applyNumberFormat="1" applyFont="1" applyAlignment="1" applyProtection="1">
      <alignment horizontal="center"/>
    </xf>
    <xf numFmtId="49" fontId="4" fillId="0" borderId="0" xfId="273"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73" applyNumberFormat="1" applyFont="1" applyProtection="1"/>
    <xf numFmtId="39" fontId="4" fillId="0" borderId="0" xfId="86" applyNumberFormat="1" applyFont="1" applyAlignment="1" applyProtection="1">
      <alignment horizontal="center"/>
    </xf>
    <xf numFmtId="0" fontId="2" fillId="0" borderId="6" xfId="273" applyNumberFormat="1" applyFont="1" applyBorder="1" applyAlignment="1" applyProtection="1">
      <alignment horizontal="center"/>
    </xf>
    <xf numFmtId="0" fontId="4" fillId="0" borderId="0" xfId="273" applyNumberFormat="1" applyFont="1" applyBorder="1" applyAlignment="1" applyProtection="1">
      <alignment horizontal="center"/>
    </xf>
    <xf numFmtId="0" fontId="4" fillId="0" borderId="6" xfId="273" applyNumberFormat="1" applyFont="1" applyBorder="1" applyAlignment="1" applyProtection="1">
      <alignment horizontal="center"/>
    </xf>
    <xf numFmtId="0" fontId="4" fillId="0" borderId="0" xfId="0" applyNumberFormat="1" applyFont="1" applyProtection="1"/>
    <xf numFmtId="0" fontId="4" fillId="0" borderId="0" xfId="273" applyNumberFormat="1" applyFont="1" applyFill="1" applyProtection="1"/>
    <xf numFmtId="3" fontId="4" fillId="0" borderId="0" xfId="273" applyNumberFormat="1" applyFont="1" applyProtection="1"/>
    <xf numFmtId="0" fontId="4" fillId="0" borderId="0" xfId="273" applyNumberFormat="1" applyFont="1" applyAlignment="1" applyProtection="1">
      <alignment horizontal="left"/>
    </xf>
    <xf numFmtId="170" fontId="4" fillId="0" borderId="0" xfId="273" applyNumberFormat="1" applyFont="1" applyProtection="1"/>
    <xf numFmtId="3" fontId="4" fillId="0" borderId="0" xfId="273" applyNumberFormat="1" applyFont="1" applyFill="1" applyAlignment="1" applyProtection="1">
      <alignment horizontal="left"/>
    </xf>
    <xf numFmtId="3" fontId="4" fillId="0" borderId="0" xfId="273" applyNumberFormat="1" applyFont="1" applyFill="1" applyAlignment="1" applyProtection="1"/>
    <xf numFmtId="0" fontId="4" fillId="0" borderId="6" xfId="273" applyNumberFormat="1" applyFont="1" applyBorder="1" applyAlignment="1" applyProtection="1">
      <alignment horizontal="centerContinuous"/>
    </xf>
    <xf numFmtId="0" fontId="4" fillId="0" borderId="0" xfId="0" applyNumberFormat="1" applyFont="1" applyAlignment="1" applyProtection="1"/>
    <xf numFmtId="41" fontId="4" fillId="0" borderId="0" xfId="273" applyNumberFormat="1" applyFont="1" applyFill="1" applyBorder="1" applyAlignment="1" applyProtection="1"/>
    <xf numFmtId="3" fontId="4" fillId="0" borderId="0" xfId="273" applyNumberFormat="1" applyFont="1" applyFill="1" applyAlignment="1" applyProtection="1">
      <alignment horizontal="center"/>
    </xf>
    <xf numFmtId="165" fontId="4" fillId="0" borderId="0" xfId="273" applyNumberFormat="1" applyFont="1" applyFill="1" applyAlignment="1" applyProtection="1">
      <alignment horizontal="right"/>
    </xf>
    <xf numFmtId="42" fontId="4" fillId="0" borderId="0" xfId="273" applyNumberFormat="1" applyFont="1" applyBorder="1" applyAlignment="1" applyProtection="1"/>
    <xf numFmtId="172" fontId="4" fillId="0" borderId="11" xfId="273" applyFont="1" applyBorder="1" applyAlignment="1" applyProtection="1"/>
    <xf numFmtId="172" fontId="4" fillId="0" borderId="0" xfId="273" applyFont="1" applyBorder="1" applyAlignment="1" applyProtection="1"/>
    <xf numFmtId="0" fontId="2" fillId="0" borderId="0" xfId="273" applyNumberFormat="1" applyFont="1" applyFill="1" applyAlignment="1" applyProtection="1">
      <alignment horizontal="center"/>
    </xf>
    <xf numFmtId="0" fontId="4" fillId="0" borderId="0" xfId="273"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73" applyNumberFormat="1" applyFont="1" applyAlignment="1" applyProtection="1">
      <alignment horizontal="left"/>
    </xf>
    <xf numFmtId="3" fontId="4" fillId="0" borderId="0" xfId="273" applyNumberFormat="1" applyFont="1" applyAlignment="1" applyProtection="1">
      <alignment horizontal="center"/>
    </xf>
    <xf numFmtId="174" fontId="4" fillId="0" borderId="14" xfId="273" applyNumberFormat="1" applyFont="1" applyBorder="1" applyAlignment="1" applyProtection="1"/>
    <xf numFmtId="42" fontId="4" fillId="0" borderId="0" xfId="273" applyNumberFormat="1" applyFont="1" applyAlignment="1" applyProtection="1"/>
    <xf numFmtId="172" fontId="75" fillId="0" borderId="0" xfId="273" applyFont="1" applyAlignment="1" applyProtection="1">
      <alignment horizontal="center" wrapText="1"/>
    </xf>
    <xf numFmtId="0" fontId="4" fillId="0" borderId="0" xfId="0" applyNumberFormat="1" applyFont="1" applyFill="1" applyAlignment="1" applyProtection="1"/>
    <xf numFmtId="41" fontId="4" fillId="0" borderId="0" xfId="273" applyNumberFormat="1" applyFont="1" applyFill="1" applyAlignment="1" applyProtection="1"/>
    <xf numFmtId="42" fontId="4" fillId="0" borderId="0" xfId="273" applyNumberFormat="1" applyFont="1" applyFill="1" applyAlignment="1" applyProtection="1"/>
    <xf numFmtId="43" fontId="4" fillId="0" borderId="0" xfId="86" applyFont="1" applyProtection="1"/>
    <xf numFmtId="0" fontId="4" fillId="0" borderId="0" xfId="273" applyNumberFormat="1" applyFont="1" applyFill="1" applyAlignment="1" applyProtection="1"/>
    <xf numFmtId="171" fontId="4" fillId="0" borderId="0" xfId="273" applyNumberFormat="1" applyFont="1" applyProtection="1"/>
    <xf numFmtId="10" fontId="4" fillId="0" borderId="0" xfId="273" applyNumberFormat="1" applyFont="1" applyAlignment="1" applyProtection="1"/>
    <xf numFmtId="10" fontId="4" fillId="0" borderId="0" xfId="273" applyNumberFormat="1" applyFont="1" applyProtection="1"/>
    <xf numFmtId="0" fontId="31" fillId="0" borderId="0" xfId="0" applyFont="1" applyProtection="1"/>
    <xf numFmtId="10" fontId="4" fillId="0" borderId="0" xfId="282" applyNumberFormat="1" applyFont="1" applyAlignment="1" applyProtection="1"/>
    <xf numFmtId="185" fontId="4" fillId="0" borderId="0" xfId="273" applyNumberFormat="1" applyFont="1" applyProtection="1"/>
    <xf numFmtId="0" fontId="4" fillId="0" borderId="0" xfId="0" applyNumberFormat="1" applyFont="1" applyFill="1" applyProtection="1"/>
    <xf numFmtId="43" fontId="4" fillId="0" borderId="0" xfId="86" applyFont="1" applyAlignment="1" applyProtection="1"/>
    <xf numFmtId="41" fontId="4" fillId="0" borderId="0" xfId="273" applyNumberFormat="1" applyFont="1" applyAlignment="1" applyProtection="1">
      <alignment horizontal="center"/>
    </xf>
    <xf numFmtId="41" fontId="4" fillId="0" borderId="14" xfId="273" applyNumberFormat="1" applyFont="1" applyBorder="1" applyAlignment="1" applyProtection="1">
      <alignment horizontal="center"/>
    </xf>
    <xf numFmtId="41" fontId="4" fillId="0" borderId="0" xfId="273" applyNumberFormat="1" applyFont="1" applyFill="1" applyAlignment="1" applyProtection="1">
      <alignment horizontal="right"/>
    </xf>
    <xf numFmtId="42" fontId="4" fillId="0" borderId="0" xfId="282" applyNumberFormat="1" applyFont="1" applyAlignment="1" applyProtection="1"/>
    <xf numFmtId="43" fontId="4" fillId="0" borderId="0" xfId="273" applyNumberFormat="1" applyFont="1" applyFill="1" applyAlignment="1" applyProtection="1">
      <alignment horizontal="right"/>
    </xf>
    <xf numFmtId="172" fontId="4" fillId="0" borderId="0" xfId="273" applyFont="1" applyFill="1" applyAlignment="1" applyProtection="1">
      <alignment horizontal="right"/>
    </xf>
    <xf numFmtId="0" fontId="31" fillId="0" borderId="0" xfId="0" applyFont="1" applyAlignment="1" applyProtection="1">
      <alignment horizontal="center"/>
    </xf>
    <xf numFmtId="49" fontId="4" fillId="0" borderId="0" xfId="273" applyNumberFormat="1" applyFont="1" applyAlignment="1" applyProtection="1">
      <alignment horizontal="left"/>
    </xf>
    <xf numFmtId="0" fontId="2" fillId="0" borderId="0" xfId="273" applyNumberFormat="1" applyFont="1" applyAlignment="1" applyProtection="1">
      <alignment horizontal="center" vertical="center"/>
    </xf>
    <xf numFmtId="3" fontId="5" fillId="0" borderId="0" xfId="273" applyNumberFormat="1" applyFont="1" applyAlignment="1" applyProtection="1">
      <alignment horizontal="center"/>
    </xf>
    <xf numFmtId="172" fontId="5" fillId="0" borderId="0" xfId="273" applyFont="1" applyAlignment="1" applyProtection="1">
      <alignment horizontal="center"/>
    </xf>
    <xf numFmtId="49" fontId="5" fillId="0" borderId="0" xfId="273" applyNumberFormat="1" applyFont="1" applyAlignment="1" applyProtection="1">
      <alignment horizontal="center"/>
    </xf>
    <xf numFmtId="0" fontId="9" fillId="0" borderId="0" xfId="273" applyNumberFormat="1" applyFont="1" applyAlignment="1" applyProtection="1">
      <alignment horizontal="center"/>
    </xf>
    <xf numFmtId="172" fontId="9" fillId="0" borderId="0" xfId="273" applyFont="1" applyBorder="1" applyAlignment="1" applyProtection="1">
      <alignment horizontal="center"/>
    </xf>
    <xf numFmtId="3" fontId="5" fillId="0" borderId="0" xfId="273" applyNumberFormat="1" applyFont="1" applyAlignment="1" applyProtection="1"/>
    <xf numFmtId="3" fontId="4" fillId="0" borderId="0" xfId="273" applyNumberFormat="1" applyFont="1" applyFill="1" applyBorder="1" applyAlignment="1" applyProtection="1">
      <alignment horizontal="center"/>
    </xf>
    <xf numFmtId="0" fontId="4" fillId="0" borderId="0" xfId="273" applyNumberFormat="1" applyFont="1" applyBorder="1" applyAlignment="1" applyProtection="1"/>
    <xf numFmtId="173" fontId="4" fillId="0" borderId="0" xfId="86" applyNumberFormat="1" applyFont="1" applyFill="1" applyAlignment="1" applyProtection="1"/>
    <xf numFmtId="0" fontId="4" fillId="0" borderId="0" xfId="273" applyNumberFormat="1" applyFont="1" applyBorder="1" applyAlignment="1" applyProtection="1">
      <alignment vertical="center"/>
    </xf>
    <xf numFmtId="3" fontId="4" fillId="0" borderId="0" xfId="273" applyNumberFormat="1" applyFont="1" applyFill="1" applyAlignment="1" applyProtection="1">
      <alignment vertical="center" wrapText="1"/>
    </xf>
    <xf numFmtId="3" fontId="4" fillId="0" borderId="0" xfId="273" applyNumberFormat="1" applyFont="1" applyFill="1" applyAlignment="1" applyProtection="1">
      <alignment horizontal="center" vertical="center"/>
    </xf>
    <xf numFmtId="3" fontId="4" fillId="0" borderId="0" xfId="273" applyNumberFormat="1" applyFont="1" applyFill="1" applyAlignment="1" applyProtection="1">
      <alignment vertical="center"/>
    </xf>
    <xf numFmtId="41" fontId="4" fillId="0" borderId="0" xfId="273" applyNumberFormat="1" applyFont="1" applyFill="1" applyAlignment="1" applyProtection="1">
      <alignment vertical="center"/>
    </xf>
    <xf numFmtId="0" fontId="4" fillId="0" borderId="0" xfId="273" applyNumberFormat="1" applyFont="1" applyFill="1" applyBorder="1" applyAlignment="1" applyProtection="1"/>
    <xf numFmtId="41" fontId="4" fillId="0" borderId="6" xfId="273" applyNumberFormat="1" applyFont="1" applyFill="1" applyBorder="1" applyAlignment="1" applyProtection="1"/>
    <xf numFmtId="0" fontId="31" fillId="0" borderId="0" xfId="0" applyFont="1" applyAlignment="1" applyProtection="1"/>
    <xf numFmtId="177" fontId="5" fillId="0" borderId="0" xfId="273" applyNumberFormat="1" applyFont="1" applyFill="1" applyAlignment="1" applyProtection="1">
      <alignment horizontal="right"/>
    </xf>
    <xf numFmtId="181" fontId="5" fillId="0" borderId="0" xfId="86" applyNumberFormat="1" applyFont="1" applyFill="1" applyAlignment="1" applyProtection="1"/>
    <xf numFmtId="183" fontId="4" fillId="0" borderId="0" xfId="273" applyNumberFormat="1" applyFont="1" applyFill="1" applyAlignment="1" applyProtection="1"/>
    <xf numFmtId="182" fontId="4" fillId="0" borderId="0" xfId="273" applyNumberFormat="1" applyFont="1" applyFill="1" applyAlignment="1" applyProtection="1"/>
    <xf numFmtId="165" fontId="4" fillId="0" borderId="0" xfId="273" applyNumberFormat="1" applyFont="1" applyFill="1" applyAlignment="1" applyProtection="1"/>
    <xf numFmtId="0" fontId="4" fillId="0" borderId="0" xfId="273" applyNumberFormat="1" applyFont="1" applyFill="1" applyAlignment="1" applyProtection="1">
      <alignment horizontal="center" vertical="center"/>
    </xf>
    <xf numFmtId="164" fontId="4" fillId="0" borderId="0" xfId="273" applyNumberFormat="1" applyFont="1" applyFill="1" applyAlignment="1" applyProtection="1">
      <alignment horizontal="center"/>
    </xf>
    <xf numFmtId="176" fontId="4" fillId="0" borderId="0" xfId="86" applyNumberFormat="1" applyFont="1" applyFill="1" applyAlignment="1" applyProtection="1">
      <alignment horizontal="center"/>
    </xf>
    <xf numFmtId="41" fontId="4" fillId="0" borderId="0" xfId="273" applyNumberFormat="1" applyFont="1" applyAlignment="1" applyProtection="1"/>
    <xf numFmtId="165" fontId="4" fillId="0" borderId="0" xfId="273" applyNumberFormat="1" applyFont="1" applyAlignment="1" applyProtection="1"/>
    <xf numFmtId="3" fontId="5" fillId="0" borderId="0" xfId="273" applyNumberFormat="1" applyFont="1" applyFill="1" applyAlignment="1" applyProtection="1">
      <alignment horizontal="right"/>
    </xf>
    <xf numFmtId="181" fontId="4" fillId="0" borderId="0" xfId="86" applyNumberFormat="1" applyFont="1" applyFill="1" applyAlignment="1" applyProtection="1"/>
    <xf numFmtId="0" fontId="0" fillId="0" borderId="0" xfId="0" applyFill="1" applyProtection="1"/>
    <xf numFmtId="164" fontId="4" fillId="0" borderId="0" xfId="273" applyNumberFormat="1" applyFont="1" applyFill="1" applyAlignment="1" applyProtection="1">
      <alignment horizontal="left"/>
    </xf>
    <xf numFmtId="0" fontId="31" fillId="0" borderId="0" xfId="0" applyFont="1" applyFill="1" applyProtection="1"/>
    <xf numFmtId="10" fontId="4" fillId="0" borderId="0" xfId="282" applyNumberFormat="1" applyFont="1" applyFill="1" applyAlignment="1" applyProtection="1"/>
    <xf numFmtId="41" fontId="4" fillId="0" borderId="0" xfId="273" applyNumberFormat="1" applyFont="1" applyAlignment="1" applyProtection="1">
      <alignment horizontal="center" vertical="center"/>
    </xf>
    <xf numFmtId="41" fontId="4" fillId="0" borderId="6" xfId="273" applyNumberFormat="1" applyFont="1" applyBorder="1" applyAlignment="1" applyProtection="1"/>
    <xf numFmtId="164" fontId="4" fillId="0" borderId="0" xfId="273" applyNumberFormat="1" applyFont="1" applyAlignment="1" applyProtection="1">
      <alignment horizontal="center"/>
    </xf>
    <xf numFmtId="0" fontId="84" fillId="0" borderId="0" xfId="273" applyNumberFormat="1" applyFont="1" applyAlignment="1" applyProtection="1">
      <alignment horizontal="center"/>
    </xf>
    <xf numFmtId="3" fontId="4" fillId="0" borderId="0" xfId="273" applyNumberFormat="1" applyFont="1" applyFill="1" applyAlignment="1" applyProtection="1">
      <alignment horizontal="right"/>
    </xf>
    <xf numFmtId="172" fontId="4" fillId="0" borderId="0" xfId="273" applyFont="1" applyAlignment="1" applyProtection="1">
      <alignment horizontal="center"/>
    </xf>
    <xf numFmtId="172" fontId="4" fillId="0" borderId="0" xfId="273" applyFont="1" applyFill="1" applyAlignment="1" applyProtection="1">
      <alignment horizontal="center"/>
    </xf>
    <xf numFmtId="0" fontId="0" fillId="0" borderId="0" xfId="0" applyAlignment="1" applyProtection="1">
      <alignment horizontal="center"/>
    </xf>
    <xf numFmtId="172" fontId="5" fillId="0" borderId="0" xfId="273" applyFont="1" applyAlignment="1" applyProtection="1"/>
    <xf numFmtId="0" fontId="5" fillId="0" borderId="0" xfId="273" applyNumberFormat="1" applyFont="1" applyAlignment="1" applyProtection="1">
      <alignment horizontal="center"/>
    </xf>
    <xf numFmtId="3" fontId="9" fillId="0" borderId="0" xfId="273" applyNumberFormat="1" applyFont="1" applyAlignment="1" applyProtection="1">
      <alignment horizontal="center"/>
    </xf>
    <xf numFmtId="3" fontId="5" fillId="0" borderId="0" xfId="273" applyNumberFormat="1" applyFont="1" applyFill="1" applyAlignment="1" applyProtection="1"/>
    <xf numFmtId="3" fontId="9" fillId="0" borderId="0" xfId="273" applyNumberFormat="1" applyFont="1" applyFill="1" applyAlignment="1" applyProtection="1"/>
    <xf numFmtId="3" fontId="9" fillId="0" borderId="0" xfId="273"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3" fillId="0" borderId="0" xfId="273" applyNumberFormat="1" applyFont="1" applyFill="1" applyAlignment="1" applyProtection="1">
      <alignment horizontal="right"/>
    </xf>
    <xf numFmtId="41" fontId="4" fillId="0" borderId="0" xfId="273" applyNumberFormat="1" applyFont="1" applyBorder="1" applyAlignment="1" applyProtection="1"/>
    <xf numFmtId="3" fontId="4" fillId="0" borderId="0" xfId="273" applyNumberFormat="1" applyFont="1" applyAlignment="1" applyProtection="1">
      <alignment vertical="center" wrapText="1"/>
    </xf>
    <xf numFmtId="41" fontId="93" fillId="0" borderId="0" xfId="273" applyNumberFormat="1" applyFont="1" applyFill="1" applyAlignment="1" applyProtection="1">
      <alignment horizontal="right"/>
    </xf>
    <xf numFmtId="3" fontId="4" fillId="0" borderId="0" xfId="273" applyNumberFormat="1" applyFont="1" applyAlignment="1" applyProtection="1">
      <alignment horizontal="center" vertical="center"/>
    </xf>
    <xf numFmtId="3" fontId="4" fillId="0" borderId="0" xfId="273" applyNumberFormat="1" applyFont="1" applyAlignment="1" applyProtection="1">
      <alignment vertical="center"/>
    </xf>
    <xf numFmtId="41" fontId="4" fillId="0" borderId="0" xfId="273" applyNumberFormat="1" applyFont="1" applyAlignment="1" applyProtection="1">
      <alignment vertical="center"/>
    </xf>
    <xf numFmtId="43" fontId="4" fillId="0" borderId="0" xfId="282" applyNumberFormat="1" applyFont="1" applyFill="1" applyAlignment="1" applyProtection="1"/>
    <xf numFmtId="166" fontId="4" fillId="0" borderId="0" xfId="273" applyNumberFormat="1" applyFont="1" applyAlignment="1" applyProtection="1"/>
    <xf numFmtId="167" fontId="4" fillId="0" borderId="0" xfId="273" applyNumberFormat="1" applyFont="1" applyAlignment="1" applyProtection="1"/>
    <xf numFmtId="172" fontId="22" fillId="0" borderId="0" xfId="273" applyFont="1" applyAlignment="1" applyProtection="1"/>
    <xf numFmtId="164" fontId="4" fillId="0" borderId="0" xfId="273" applyNumberFormat="1" applyFont="1" applyBorder="1" applyAlignment="1" applyProtection="1">
      <alignment horizontal="left"/>
    </xf>
    <xf numFmtId="168" fontId="4" fillId="0" borderId="0" xfId="273" applyNumberFormat="1" applyFont="1" applyAlignment="1" applyProtection="1"/>
    <xf numFmtId="10" fontId="4" fillId="0" borderId="0" xfId="273" applyNumberFormat="1" applyFont="1" applyFill="1" applyAlignment="1" applyProtection="1">
      <alignment horizontal="right"/>
    </xf>
    <xf numFmtId="10" fontId="31" fillId="0" borderId="0" xfId="282" applyNumberFormat="1" applyFont="1" applyProtection="1"/>
    <xf numFmtId="3" fontId="22" fillId="0" borderId="0" xfId="273" applyNumberFormat="1" applyFont="1" applyAlignment="1" applyProtection="1"/>
    <xf numFmtId="167" fontId="4" fillId="0" borderId="0" xfId="273" applyNumberFormat="1" applyFont="1" applyFill="1" applyAlignment="1" applyProtection="1"/>
    <xf numFmtId="166" fontId="4" fillId="0" borderId="0" xfId="273" applyNumberFormat="1" applyFont="1" applyAlignment="1" applyProtection="1">
      <alignment horizontal="center"/>
    </xf>
    <xf numFmtId="186" fontId="22" fillId="0" borderId="0" xfId="273" applyNumberFormat="1" applyFont="1" applyAlignment="1" applyProtection="1">
      <alignment horizontal="center"/>
    </xf>
    <xf numFmtId="187" fontId="4" fillId="0" borderId="0" xfId="273" applyNumberFormat="1" applyFont="1" applyAlignment="1" applyProtection="1"/>
    <xf numFmtId="164" fontId="4" fillId="0" borderId="0" xfId="273" applyNumberFormat="1" applyFont="1" applyFill="1" applyBorder="1" applyAlignment="1" applyProtection="1">
      <alignment horizontal="left"/>
    </xf>
    <xf numFmtId="178" fontId="4" fillId="0" borderId="0" xfId="273" applyNumberFormat="1" applyFont="1" applyFill="1" applyAlignment="1" applyProtection="1">
      <alignment horizontal="right"/>
    </xf>
    <xf numFmtId="185" fontId="4" fillId="0" borderId="0" xfId="86" applyNumberFormat="1" applyFont="1" applyAlignment="1" applyProtection="1">
      <alignment horizontal="center"/>
    </xf>
    <xf numFmtId="41" fontId="22" fillId="0" borderId="0" xfId="273" applyNumberFormat="1" applyFont="1" applyAlignment="1" applyProtection="1"/>
    <xf numFmtId="43" fontId="22" fillId="0" borderId="0" xfId="86" applyFont="1" applyAlignment="1" applyProtection="1"/>
    <xf numFmtId="178" fontId="4" fillId="0" borderId="0" xfId="273" applyNumberFormat="1" applyFont="1" applyAlignment="1" applyProtection="1">
      <alignment horizontal="center"/>
    </xf>
    <xf numFmtId="10" fontId="4" fillId="0" borderId="0" xfId="273" applyNumberFormat="1" applyFont="1" applyFill="1" applyAlignment="1" applyProtection="1">
      <alignment horizontal="left"/>
    </xf>
    <xf numFmtId="186" fontId="4" fillId="0" borderId="0" xfId="273" applyNumberFormat="1" applyFont="1" applyAlignment="1" applyProtection="1">
      <alignment horizontal="center"/>
    </xf>
    <xf numFmtId="168" fontId="4" fillId="0" borderId="0" xfId="273" applyNumberFormat="1" applyFont="1" applyFill="1" applyAlignment="1" applyProtection="1">
      <alignment horizontal="left"/>
    </xf>
    <xf numFmtId="41" fontId="4" fillId="0" borderId="0" xfId="273" applyNumberFormat="1" applyFont="1" applyAlignment="1" applyProtection="1">
      <alignment horizontal="right"/>
    </xf>
    <xf numFmtId="41" fontId="4" fillId="0" borderId="11" xfId="273" applyNumberFormat="1" applyFont="1" applyBorder="1" applyAlignment="1" applyProtection="1"/>
    <xf numFmtId="178" fontId="4" fillId="0" borderId="0" xfId="273" applyNumberFormat="1" applyFont="1" applyAlignment="1" applyProtection="1"/>
    <xf numFmtId="172" fontId="22" fillId="0" borderId="0" xfId="273" applyFont="1" applyFill="1" applyAlignment="1" applyProtection="1"/>
    <xf numFmtId="164" fontId="4" fillId="0" borderId="0" xfId="273" applyNumberFormat="1" applyFont="1" applyFill="1" applyBorder="1" applyAlignment="1" applyProtection="1">
      <alignment horizontal="left" vertical="center"/>
    </xf>
    <xf numFmtId="41" fontId="4" fillId="0" borderId="0" xfId="273" applyNumberFormat="1" applyFont="1" applyFill="1" applyAlignment="1" applyProtection="1">
      <alignment horizontal="center" vertical="center"/>
    </xf>
    <xf numFmtId="179" fontId="4" fillId="0" borderId="0" xfId="273" applyNumberFormat="1" applyFont="1" applyAlignment="1" applyProtection="1"/>
    <xf numFmtId="173" fontId="4" fillId="0" borderId="14" xfId="86" applyNumberFormat="1" applyFont="1" applyBorder="1" applyAlignment="1" applyProtection="1"/>
    <xf numFmtId="0" fontId="4" fillId="0" borderId="0" xfId="273" applyNumberFormat="1" applyFont="1" applyFill="1" applyBorder="1" applyAlignment="1" applyProtection="1">
      <alignment horizontal="left"/>
    </xf>
    <xf numFmtId="0" fontId="5" fillId="0" borderId="0" xfId="273" applyNumberFormat="1" applyFont="1" applyAlignment="1" applyProtection="1"/>
    <xf numFmtId="0" fontId="4" fillId="0" borderId="0" xfId="0" applyFont="1" applyFill="1" applyAlignment="1" applyProtection="1">
      <alignment horizontal="left"/>
    </xf>
    <xf numFmtId="0" fontId="4" fillId="0" borderId="0" xfId="273" applyNumberFormat="1" applyFont="1" applyFill="1" applyBorder="1" applyProtection="1"/>
    <xf numFmtId="3" fontId="4" fillId="0" borderId="0" xfId="273" applyNumberFormat="1" applyFont="1" applyFill="1" applyBorder="1" applyAlignment="1" applyProtection="1"/>
    <xf numFmtId="172" fontId="4" fillId="0" borderId="0" xfId="273" applyFont="1" applyFill="1" applyBorder="1" applyAlignment="1" applyProtection="1"/>
    <xf numFmtId="172" fontId="4" fillId="0" borderId="0" xfId="273" applyFont="1" applyFill="1" applyBorder="1" applyAlignment="1" applyProtection="1">
      <alignment horizontal="center"/>
    </xf>
    <xf numFmtId="173" fontId="4" fillId="0" borderId="6" xfId="86" applyNumberFormat="1" applyFont="1" applyBorder="1" applyAlignment="1" applyProtection="1"/>
    <xf numFmtId="3" fontId="4" fillId="0" borderId="0" xfId="273" applyNumberFormat="1" applyFont="1" applyFill="1" applyBorder="1" applyAlignment="1" applyProtection="1">
      <alignment horizontal="left"/>
    </xf>
    <xf numFmtId="0" fontId="4" fillId="0" borderId="0" xfId="273" applyNumberFormat="1" applyFont="1" applyFill="1" applyBorder="1" applyAlignment="1" applyProtection="1">
      <alignment horizontal="center"/>
    </xf>
    <xf numFmtId="49" fontId="4" fillId="0" borderId="0" xfId="273" applyNumberFormat="1" applyFont="1" applyFill="1" applyBorder="1" applyProtection="1"/>
    <xf numFmtId="49" fontId="4" fillId="0" borderId="0" xfId="273" applyNumberFormat="1" applyFont="1" applyFill="1" applyBorder="1" applyAlignment="1" applyProtection="1"/>
    <xf numFmtId="49" fontId="4" fillId="0" borderId="0" xfId="273" applyNumberFormat="1" applyFont="1" applyFill="1" applyBorder="1" applyAlignment="1" applyProtection="1">
      <alignment horizontal="center"/>
    </xf>
    <xf numFmtId="3" fontId="5" fillId="0" borderId="0" xfId="273" applyNumberFormat="1" applyFont="1" applyFill="1" applyBorder="1" applyAlignment="1" applyProtection="1"/>
    <xf numFmtId="165" fontId="5" fillId="0" borderId="0" xfId="273" applyNumberFormat="1" applyFont="1" applyFill="1" applyBorder="1" applyAlignment="1" applyProtection="1">
      <alignment horizontal="right"/>
    </xf>
    <xf numFmtId="0" fontId="5" fillId="0" borderId="0" xfId="273" applyNumberFormat="1" applyFont="1" applyFill="1" applyAlignment="1" applyProtection="1"/>
    <xf numFmtId="3" fontId="4" fillId="0" borderId="0" xfId="273" applyNumberFormat="1" applyFont="1" applyFill="1" applyProtection="1"/>
    <xf numFmtId="3" fontId="4" fillId="0" borderId="0" xfId="273" applyNumberFormat="1" applyFont="1" applyFill="1" applyAlignment="1" applyProtection="1">
      <alignment horizontal="center" wrapText="1"/>
    </xf>
    <xf numFmtId="4" fontId="4" fillId="0" borderId="0" xfId="273" applyNumberFormat="1" applyFont="1" applyAlignment="1" applyProtection="1"/>
    <xf numFmtId="173" fontId="4" fillId="0" borderId="6" xfId="86" applyNumberFormat="1" applyFont="1" applyFill="1" applyBorder="1" applyAlignment="1" applyProtection="1"/>
    <xf numFmtId="3" fontId="5" fillId="0" borderId="0" xfId="273" applyNumberFormat="1" applyFont="1" applyFill="1" applyAlignment="1" applyProtection="1">
      <alignment horizontal="center"/>
    </xf>
    <xf numFmtId="172" fontId="5" fillId="0" borderId="0" xfId="273" applyFont="1" applyAlignment="1" applyProtection="1">
      <alignment horizontal="right"/>
    </xf>
    <xf numFmtId="165" fontId="5" fillId="0" borderId="0" xfId="273" applyNumberFormat="1" applyFont="1" applyAlignment="1" applyProtection="1"/>
    <xf numFmtId="166" fontId="5" fillId="0" borderId="0" xfId="273" applyNumberFormat="1" applyFont="1" applyFill="1" applyProtection="1"/>
    <xf numFmtId="3" fontId="4" fillId="0" borderId="6" xfId="273" applyNumberFormat="1" applyFont="1" applyFill="1" applyBorder="1" applyAlignment="1" applyProtection="1">
      <alignment horizontal="center"/>
    </xf>
    <xf numFmtId="0" fontId="13" fillId="0" borderId="0" xfId="273" applyNumberFormat="1" applyFont="1" applyFill="1" applyBorder="1" applyAlignment="1" applyProtection="1">
      <alignment horizontal="left"/>
    </xf>
    <xf numFmtId="0" fontId="4" fillId="0" borderId="0" xfId="273" applyNumberFormat="1" applyFont="1" applyFill="1" applyAlignment="1" applyProtection="1">
      <alignment horizontal="left"/>
    </xf>
    <xf numFmtId="3" fontId="22" fillId="0" borderId="0" xfId="273" applyNumberFormat="1" applyFont="1" applyFill="1" applyAlignment="1" applyProtection="1"/>
    <xf numFmtId="181" fontId="4" fillId="0" borderId="0" xfId="86" applyNumberFormat="1" applyFont="1" applyFill="1" applyAlignment="1" applyProtection="1">
      <alignment horizontal="center"/>
    </xf>
    <xf numFmtId="0" fontId="4" fillId="0" borderId="6" xfId="273" applyNumberFormat="1" applyFont="1" applyFill="1" applyBorder="1" applyAlignment="1" applyProtection="1">
      <alignment horizontal="center"/>
    </xf>
    <xf numFmtId="181" fontId="4" fillId="0" borderId="6" xfId="86" applyNumberFormat="1" applyFont="1" applyFill="1" applyBorder="1" applyAlignment="1" applyProtection="1">
      <alignment horizontal="center"/>
    </xf>
    <xf numFmtId="10" fontId="4" fillId="0" borderId="0" xfId="273" applyNumberFormat="1" applyFont="1" applyFill="1" applyAlignment="1" applyProtection="1"/>
    <xf numFmtId="185" fontId="4" fillId="0" borderId="0" xfId="86" applyNumberFormat="1" applyFont="1" applyFill="1" applyAlignment="1" applyProtection="1"/>
    <xf numFmtId="169" fontId="4" fillId="0" borderId="15" xfId="273" applyNumberFormat="1" applyFont="1" applyFill="1" applyBorder="1" applyAlignment="1" applyProtection="1"/>
    <xf numFmtId="3" fontId="4" fillId="0" borderId="0" xfId="273" quotePrefix="1" applyNumberFormat="1" applyFont="1" applyAlignment="1" applyProtection="1"/>
    <xf numFmtId="169" fontId="4" fillId="0" borderId="0" xfId="273" applyNumberFormat="1" applyFont="1" applyFill="1" applyBorder="1" applyAlignment="1" applyProtection="1"/>
    <xf numFmtId="169" fontId="4" fillId="0" borderId="6" xfId="273" applyNumberFormat="1" applyFont="1" applyFill="1" applyBorder="1" applyAlignment="1" applyProtection="1"/>
    <xf numFmtId="181" fontId="21" fillId="0" borderId="0" xfId="86" applyNumberFormat="1" applyFont="1" applyFill="1" applyProtection="1"/>
    <xf numFmtId="169" fontId="5" fillId="0" borderId="0" xfId="273" applyNumberFormat="1" applyFont="1" applyFill="1" applyAlignment="1" applyProtection="1"/>
    <xf numFmtId="3" fontId="5" fillId="0" borderId="0" xfId="273" quotePrefix="1" applyNumberFormat="1" applyFont="1" applyAlignment="1" applyProtection="1"/>
    <xf numFmtId="172" fontId="4" fillId="0" borderId="0" xfId="273" applyFont="1" applyAlignment="1" applyProtection="1">
      <alignment horizontal="right"/>
    </xf>
    <xf numFmtId="172" fontId="4" fillId="0" borderId="0" xfId="273" applyNumberFormat="1" applyFont="1" applyAlignment="1" applyProtection="1"/>
    <xf numFmtId="172" fontId="9" fillId="0" borderId="0" xfId="273" applyFont="1" applyAlignment="1" applyProtection="1">
      <alignment horizontal="center"/>
    </xf>
    <xf numFmtId="172" fontId="2" fillId="0" borderId="0" xfId="273" applyFont="1" applyFill="1" applyAlignment="1" applyProtection="1">
      <alignment horizontal="center"/>
    </xf>
    <xf numFmtId="172" fontId="2" fillId="0" borderId="0" xfId="273" applyFont="1" applyFill="1" applyAlignment="1" applyProtection="1"/>
    <xf numFmtId="10" fontId="4" fillId="0" borderId="0" xfId="273"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73" applyNumberFormat="1" applyFont="1" applyFill="1" applyAlignment="1" applyProtection="1"/>
    <xf numFmtId="0" fontId="113" fillId="0" borderId="0" xfId="273" applyNumberFormat="1" applyFont="1" applyFill="1" applyAlignment="1" applyProtection="1"/>
    <xf numFmtId="0" fontId="25" fillId="0" borderId="0" xfId="273" applyNumberFormat="1" applyFont="1" applyFill="1" applyProtection="1"/>
    <xf numFmtId="172" fontId="25" fillId="0" borderId="0" xfId="273" applyFont="1" applyFill="1" applyAlignment="1" applyProtection="1"/>
    <xf numFmtId="0" fontId="25" fillId="0" borderId="0" xfId="0" applyFont="1" applyAlignment="1" applyProtection="1">
      <alignment vertical="top" wrapText="1"/>
    </xf>
    <xf numFmtId="172" fontId="25" fillId="0" borderId="0" xfId="273" applyFont="1" applyFill="1" applyAlignment="1" applyProtection="1">
      <alignment wrapText="1"/>
    </xf>
    <xf numFmtId="172" fontId="113" fillId="0" borderId="0" xfId="273" applyFont="1" applyFill="1" applyAlignment="1" applyProtection="1"/>
    <xf numFmtId="0" fontId="2" fillId="0" borderId="0" xfId="273" applyNumberFormat="1" applyFont="1" applyFill="1" applyProtection="1"/>
    <xf numFmtId="0" fontId="83" fillId="0" borderId="0" xfId="273" applyNumberFormat="1" applyFont="1" applyFill="1" applyAlignment="1" applyProtection="1">
      <alignment horizontal="center"/>
    </xf>
    <xf numFmtId="0" fontId="0" fillId="0" borderId="0" xfId="0" applyAlignment="1" applyProtection="1">
      <alignment wrapText="1"/>
    </xf>
    <xf numFmtId="0" fontId="4" fillId="0" borderId="0" xfId="0" applyFont="1" applyAlignment="1" applyProtection="1">
      <alignment horizontal="center"/>
    </xf>
    <xf numFmtId="0" fontId="4" fillId="0" borderId="0" xfId="222" applyFont="1" applyBorder="1" applyAlignment="1" applyProtection="1">
      <alignment horizontal="center"/>
    </xf>
    <xf numFmtId="49" fontId="4" fillId="0" borderId="0" xfId="263"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174" fontId="11" fillId="0" borderId="0" xfId="86" applyNumberFormat="1" applyFont="1" applyFill="1" applyProtection="1"/>
    <xf numFmtId="174" fontId="0" fillId="0" borderId="0" xfId="0" applyNumberForma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77" applyFont="1" applyProtection="1"/>
    <xf numFmtId="0" fontId="2" fillId="0" borderId="0" xfId="277" applyFont="1" applyAlignment="1" applyProtection="1">
      <alignment horizontal="right"/>
    </xf>
    <xf numFmtId="0" fontId="9" fillId="0" borderId="0" xfId="277" applyFont="1" applyAlignment="1" applyProtection="1">
      <alignment horizontal="center"/>
    </xf>
    <xf numFmtId="0" fontId="25" fillId="0" borderId="0" xfId="0" applyFont="1" applyProtection="1"/>
    <xf numFmtId="0" fontId="4" fillId="0" borderId="0" xfId="277" applyFont="1" applyProtection="1"/>
    <xf numFmtId="0" fontId="79" fillId="0" borderId="0" xfId="277" applyFont="1" applyProtection="1"/>
    <xf numFmtId="0" fontId="25" fillId="0" borderId="0" xfId="0" applyFont="1" applyAlignment="1" applyProtection="1">
      <alignment horizontal="center"/>
    </xf>
    <xf numFmtId="0" fontId="9" fillId="0" borderId="0" xfId="277"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277" applyFont="1" applyFill="1" applyProtection="1"/>
    <xf numFmtId="0" fontId="25" fillId="0" borderId="0" xfId="277" applyFont="1" applyAlignment="1" applyProtection="1">
      <alignment horizontal="center"/>
    </xf>
    <xf numFmtId="0" fontId="8" fillId="0" borderId="0" xfId="277" applyFont="1" applyFill="1" applyAlignment="1" applyProtection="1">
      <alignment horizontal="center"/>
    </xf>
    <xf numFmtId="0" fontId="8" fillId="0" borderId="0" xfId="277" applyFont="1" applyFill="1" applyProtection="1"/>
    <xf numFmtId="0" fontId="11" fillId="0" borderId="0" xfId="277" applyFont="1" applyProtection="1"/>
    <xf numFmtId="173" fontId="11" fillId="0" borderId="0" xfId="277" applyNumberFormat="1" applyFont="1" applyFill="1" applyProtection="1"/>
    <xf numFmtId="0" fontId="102" fillId="0" borderId="0" xfId="0" applyFont="1" applyFill="1" applyProtection="1"/>
    <xf numFmtId="0" fontId="11" fillId="0" borderId="0" xfId="0" applyFont="1" applyAlignment="1" applyProtection="1">
      <alignment horizontal="center"/>
    </xf>
    <xf numFmtId="0" fontId="102" fillId="0" borderId="0" xfId="0" applyFont="1" applyProtection="1"/>
    <xf numFmtId="0" fontId="94" fillId="0" borderId="0" xfId="277" applyFont="1" applyFill="1" applyAlignment="1" applyProtection="1">
      <alignment horizontal="center"/>
    </xf>
    <xf numFmtId="0" fontId="94" fillId="0" borderId="0" xfId="277" applyFont="1" applyFill="1" applyProtection="1"/>
    <xf numFmtId="0" fontId="101" fillId="0" borderId="0" xfId="0" applyFont="1" applyProtection="1"/>
    <xf numFmtId="0" fontId="101" fillId="0" borderId="0" xfId="277" applyFont="1" applyProtection="1"/>
    <xf numFmtId="172" fontId="11" fillId="0" borderId="0" xfId="277" applyNumberFormat="1" applyFont="1" applyFill="1" applyAlignment="1" applyProtection="1">
      <alignment horizontal="center"/>
    </xf>
    <xf numFmtId="0" fontId="11" fillId="0" borderId="0" xfId="277" applyFont="1" applyFill="1" applyProtection="1"/>
    <xf numFmtId="0" fontId="8" fillId="0" borderId="0" xfId="277" applyFont="1" applyProtection="1"/>
    <xf numFmtId="0" fontId="94" fillId="0" borderId="0" xfId="277" applyFont="1" applyProtection="1"/>
    <xf numFmtId="43" fontId="11" fillId="0" borderId="0" xfId="121" applyFont="1" applyFill="1" applyProtection="1"/>
    <xf numFmtId="43" fontId="101" fillId="0" borderId="0" xfId="121" applyFont="1" applyFill="1" applyProtection="1"/>
    <xf numFmtId="184"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277" applyNumberFormat="1" applyFont="1" applyProtection="1"/>
    <xf numFmtId="173" fontId="11" fillId="0" borderId="0" xfId="277" applyNumberFormat="1" applyFont="1" applyBorder="1" applyProtection="1"/>
    <xf numFmtId="173" fontId="11" fillId="0" borderId="13" xfId="277" applyNumberFormat="1" applyFont="1" applyBorder="1" applyProtection="1"/>
    <xf numFmtId="0" fontId="4" fillId="0" borderId="0" xfId="277" applyFont="1" applyFill="1" applyProtection="1"/>
    <xf numFmtId="173" fontId="4" fillId="0" borderId="0" xfId="277"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73" applyNumberFormat="1" applyFont="1" applyFill="1" applyBorder="1" applyAlignment="1" applyProtection="1"/>
    <xf numFmtId="3" fontId="11" fillId="0" borderId="0" xfId="273" applyNumberFormat="1" applyFont="1" applyAlignment="1" applyProtection="1"/>
    <xf numFmtId="10" fontId="1" fillId="0" borderId="0" xfId="282" applyNumberFormat="1" applyAlignment="1" applyProtection="1">
      <alignment horizontal="right"/>
    </xf>
    <xf numFmtId="172" fontId="11" fillId="0" borderId="0" xfId="273" applyFont="1" applyAlignment="1" applyProtection="1"/>
    <xf numFmtId="172" fontId="11" fillId="0" borderId="0" xfId="273" applyFont="1" applyBorder="1" applyAlignment="1" applyProtection="1"/>
    <xf numFmtId="3" fontId="11" fillId="0" borderId="0" xfId="273" applyNumberFormat="1" applyFont="1" applyFill="1" applyAlignment="1" applyProtection="1"/>
    <xf numFmtId="10" fontId="11" fillId="0" borderId="0" xfId="282" applyNumberFormat="1" applyFont="1" applyFill="1" applyAlignment="1" applyProtection="1">
      <alignment horizontal="right"/>
    </xf>
    <xf numFmtId="3" fontId="8" fillId="0" borderId="0" xfId="273" applyNumberFormat="1" applyFont="1" applyAlignment="1" applyProtection="1"/>
    <xf numFmtId="10" fontId="11" fillId="0" borderId="0" xfId="273" applyNumberFormat="1" applyFont="1" applyFill="1" applyAlignment="1" applyProtection="1">
      <alignment horizontal="right"/>
    </xf>
    <xf numFmtId="3" fontId="12" fillId="0" borderId="0" xfId="273" applyNumberFormat="1" applyFont="1" applyAlignment="1" applyProtection="1">
      <alignment horizontal="center"/>
    </xf>
    <xf numFmtId="10" fontId="12" fillId="0" borderId="0" xfId="273" applyNumberFormat="1" applyFont="1" applyFill="1" applyAlignment="1" applyProtection="1">
      <alignment horizontal="center"/>
    </xf>
    <xf numFmtId="0" fontId="11" fillId="0" borderId="0" xfId="273"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82" applyNumberFormat="1" applyFont="1" applyAlignment="1" applyProtection="1"/>
    <xf numFmtId="166" fontId="11" fillId="0" borderId="0" xfId="273" applyNumberFormat="1" applyFont="1" applyAlignment="1" applyProtection="1">
      <alignment horizontal="center"/>
    </xf>
    <xf numFmtId="166" fontId="11" fillId="0" borderId="0" xfId="273" applyNumberFormat="1" applyFont="1" applyBorder="1" applyAlignment="1" applyProtection="1">
      <alignment horizontal="center"/>
    </xf>
    <xf numFmtId="41" fontId="11" fillId="0" borderId="0" xfId="273" applyNumberFormat="1" applyFont="1" applyAlignment="1" applyProtection="1"/>
    <xf numFmtId="41" fontId="11" fillId="0" borderId="0" xfId="273" applyNumberFormat="1" applyFont="1" applyAlignment="1" applyProtection="1">
      <alignment horizontal="center"/>
    </xf>
    <xf numFmtId="41" fontId="11" fillId="0" borderId="0" xfId="273" applyNumberFormat="1" applyFont="1" applyBorder="1" applyAlignment="1" applyProtection="1">
      <alignment horizontal="center"/>
    </xf>
    <xf numFmtId="0" fontId="11" fillId="0" borderId="0" xfId="273" applyNumberFormat="1" applyFont="1" applyBorder="1" applyAlignment="1" applyProtection="1">
      <alignment horizontal="right"/>
    </xf>
    <xf numFmtId="164" fontId="12" fillId="0" borderId="0" xfId="282" applyNumberFormat="1" applyFont="1" applyAlignment="1" applyProtection="1"/>
    <xf numFmtId="0" fontId="11" fillId="0" borderId="0" xfId="273" applyNumberFormat="1" applyFont="1" applyBorder="1" applyAlignment="1" applyProtection="1"/>
    <xf numFmtId="3" fontId="11" fillId="0" borderId="0" xfId="273" applyNumberFormat="1" applyFont="1" applyAlignment="1" applyProtection="1">
      <alignment horizontal="right"/>
    </xf>
    <xf numFmtId="172" fontId="1" fillId="0" borderId="17" xfId="273" applyFont="1" applyBorder="1" applyAlignment="1" applyProtection="1"/>
    <xf numFmtId="0" fontId="1" fillId="0" borderId="0" xfId="273" applyNumberFormat="1" applyFont="1" applyBorder="1" applyAlignment="1" applyProtection="1">
      <alignment horizontal="center"/>
    </xf>
    <xf numFmtId="172" fontId="1" fillId="0" borderId="0" xfId="273" applyFont="1" applyBorder="1" applyAlignment="1" applyProtection="1"/>
    <xf numFmtId="3" fontId="1" fillId="0" borderId="18" xfId="273" applyNumberFormat="1" applyFont="1" applyBorder="1" applyAlignment="1" applyProtection="1"/>
    <xf numFmtId="10" fontId="11" fillId="0" borderId="0" xfId="273" applyNumberFormat="1" applyFont="1" applyFill="1" applyAlignment="1" applyProtection="1">
      <alignment horizontal="left"/>
    </xf>
    <xf numFmtId="41" fontId="11" fillId="0" borderId="0" xfId="273"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73" applyNumberFormat="1" applyFont="1" applyFill="1" applyAlignment="1" applyProtection="1"/>
    <xf numFmtId="166" fontId="1" fillId="0" borderId="19" xfId="273" applyNumberFormat="1" applyFont="1" applyBorder="1" applyAlignment="1" applyProtection="1">
      <alignment horizontal="center"/>
    </xf>
    <xf numFmtId="0" fontId="1" fillId="0" borderId="6" xfId="273" applyNumberFormat="1" applyFont="1" applyBorder="1" applyAlignment="1" applyProtection="1">
      <alignment horizontal="center"/>
    </xf>
    <xf numFmtId="174" fontId="1" fillId="0" borderId="20" xfId="0" applyNumberFormat="1" applyFont="1" applyBorder="1" applyProtection="1"/>
    <xf numFmtId="41" fontId="1" fillId="0" borderId="0" xfId="273" applyNumberFormat="1" applyFont="1" applyBorder="1" applyAlignment="1" applyProtection="1"/>
    <xf numFmtId="0" fontId="11" fillId="26" borderId="0" xfId="273" applyNumberFormat="1" applyFont="1" applyFill="1" applyBorder="1" applyAlignment="1" applyProtection="1"/>
    <xf numFmtId="41" fontId="11" fillId="0" borderId="0" xfId="273" applyNumberFormat="1" applyFont="1" applyFill="1" applyAlignment="1" applyProtection="1">
      <alignment horizontal="left"/>
    </xf>
    <xf numFmtId="41" fontId="1" fillId="0" borderId="0" xfId="273" applyNumberFormat="1" applyFont="1" applyFill="1" applyBorder="1" applyAlignment="1" applyProtection="1">
      <alignment horizontal="right"/>
    </xf>
    <xf numFmtId="167" fontId="11" fillId="0" borderId="0" xfId="273" applyNumberFormat="1" applyFont="1" applyAlignment="1" applyProtection="1"/>
    <xf numFmtId="164" fontId="11" fillId="0" borderId="0" xfId="273" applyNumberFormat="1" applyFont="1" applyFill="1" applyBorder="1" applyAlignment="1" applyProtection="1">
      <alignment horizontal="left"/>
    </xf>
    <xf numFmtId="164" fontId="11" fillId="0" borderId="0" xfId="273" applyNumberFormat="1" applyFont="1" applyBorder="1" applyAlignment="1" applyProtection="1">
      <alignment horizontal="left"/>
    </xf>
    <xf numFmtId="3" fontId="11" fillId="0" borderId="0" xfId="273" applyNumberFormat="1" applyFont="1" applyAlignment="1" applyProtection="1">
      <alignment vertical="center" wrapText="1"/>
    </xf>
    <xf numFmtId="41" fontId="11" fillId="0" borderId="0" xfId="273" applyNumberFormat="1" applyFont="1" applyBorder="1" applyAlignment="1" applyProtection="1">
      <alignment vertical="center"/>
    </xf>
    <xf numFmtId="41" fontId="11" fillId="0" borderId="0" xfId="273" applyNumberFormat="1" applyFont="1" applyBorder="1" applyAlignment="1" applyProtection="1">
      <alignment horizontal="center" vertical="center"/>
    </xf>
    <xf numFmtId="41" fontId="11" fillId="0" borderId="0" xfId="273"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73" applyNumberFormat="1" applyFont="1" applyFill="1" applyBorder="1" applyAlignment="1" applyProtection="1"/>
    <xf numFmtId="41" fontId="11" fillId="0" borderId="11" xfId="273" applyNumberFormat="1" applyFont="1" applyFill="1" applyBorder="1" applyAlignment="1" applyProtection="1"/>
    <xf numFmtId="3" fontId="11" fillId="0" borderId="0" xfId="273" applyNumberFormat="1" applyFont="1" applyFill="1" applyBorder="1" applyAlignment="1" applyProtection="1"/>
    <xf numFmtId="41" fontId="11" fillId="0" borderId="0" xfId="273" applyNumberFormat="1" applyFont="1" applyFill="1" applyBorder="1" applyAlignment="1" applyProtection="1">
      <alignment horizontal="center"/>
    </xf>
    <xf numFmtId="0" fontId="11" fillId="0" borderId="0" xfId="273" applyNumberFormat="1" applyFont="1" applyFill="1" applyBorder="1" applyProtection="1"/>
    <xf numFmtId="41" fontId="12" fillId="0" borderId="0" xfId="273" applyNumberFormat="1" applyFont="1" applyFill="1" applyBorder="1" applyAlignment="1" applyProtection="1"/>
    <xf numFmtId="3" fontId="11" fillId="0" borderId="0" xfId="273" applyNumberFormat="1" applyFont="1" applyFill="1" applyBorder="1" applyAlignment="1" applyProtection="1">
      <alignment horizontal="center"/>
    </xf>
    <xf numFmtId="0" fontId="11" fillId="0" borderId="0" xfId="0" applyFont="1" applyFill="1" applyBorder="1" applyProtection="1"/>
    <xf numFmtId="0" fontId="11" fillId="0" borderId="0" xfId="273" applyNumberFormat="1" applyFont="1" applyFill="1" applyBorder="1" applyAlignment="1" applyProtection="1">
      <alignment horizontal="center"/>
    </xf>
    <xf numFmtId="10" fontId="11" fillId="0" borderId="0" xfId="273" applyNumberFormat="1" applyFont="1" applyFill="1" applyBorder="1" applyAlignment="1" applyProtection="1"/>
    <xf numFmtId="169" fontId="11" fillId="0" borderId="0" xfId="273" applyNumberFormat="1" applyFont="1" applyFill="1" applyBorder="1" applyAlignment="1" applyProtection="1"/>
    <xf numFmtId="172" fontId="11" fillId="0" borderId="0" xfId="273" applyFont="1" applyFill="1" applyBorder="1" applyAlignment="1" applyProtection="1"/>
    <xf numFmtId="169" fontId="8" fillId="0" borderId="0" xfId="273"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1" fontId="11" fillId="0" borderId="0" xfId="86" applyNumberFormat="1" applyFont="1" applyProtection="1"/>
    <xf numFmtId="10" fontId="12" fillId="0" borderId="0" xfId="0" applyNumberFormat="1" applyFont="1" applyProtection="1"/>
    <xf numFmtId="0" fontId="11" fillId="26"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5" xfId="0" applyFont="1" applyBorder="1" applyProtection="1"/>
    <xf numFmtId="0" fontId="11" fillId="0" borderId="15" xfId="0"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8" fillId="0" borderId="0" xfId="0" applyFont="1" applyFill="1" applyProtection="1"/>
    <xf numFmtId="173" fontId="11" fillId="0" borderId="20"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0" fillId="26" borderId="0" xfId="0" applyFill="1" applyProtection="1"/>
    <xf numFmtId="0" fontId="11"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0" xfId="0" applyFont="1" applyFill="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5"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6"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6" xfId="86" applyNumberFormat="1" applyFont="1" applyBorder="1" applyAlignment="1" applyProtection="1">
      <alignment horizontal="center" wrapText="1"/>
    </xf>
    <xf numFmtId="173" fontId="8" fillId="0" borderId="25" xfId="86" applyNumberFormat="1" applyFont="1" applyBorder="1" applyAlignment="1" applyProtection="1">
      <alignment horizontal="center" wrapText="1"/>
    </xf>
    <xf numFmtId="0" fontId="8" fillId="0" borderId="27"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28" xfId="0" applyFont="1" applyBorder="1" applyAlignment="1" applyProtection="1">
      <alignment horizontal="center"/>
    </xf>
    <xf numFmtId="0" fontId="8" fillId="0" borderId="6" xfId="0" applyFont="1" applyBorder="1" applyAlignment="1" applyProtection="1">
      <alignment horizontal="center"/>
    </xf>
    <xf numFmtId="173" fontId="8" fillId="0" borderId="28"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8" xfId="0" applyFont="1" applyFill="1" applyBorder="1" applyAlignment="1" applyProtection="1">
      <alignment horizontal="center"/>
    </xf>
    <xf numFmtId="0" fontId="8" fillId="0" borderId="27" xfId="0" applyFont="1" applyFill="1" applyBorder="1" applyAlignment="1" applyProtection="1">
      <alignment horizontal="center"/>
    </xf>
    <xf numFmtId="0" fontId="11" fillId="0" borderId="27" xfId="0" applyNumberFormat="1" applyFont="1" applyBorder="1" applyAlignment="1" applyProtection="1">
      <alignment horizontal="center"/>
    </xf>
    <xf numFmtId="173" fontId="11" fillId="0" borderId="27" xfId="86" applyNumberFormat="1" applyFont="1" applyBorder="1" applyProtection="1"/>
    <xf numFmtId="173" fontId="11" fillId="0" borderId="27" xfId="86" applyNumberFormat="1" applyFont="1" applyFill="1" applyBorder="1" applyProtection="1"/>
    <xf numFmtId="173" fontId="11" fillId="0" borderId="18" xfId="86" applyNumberFormat="1" applyFont="1" applyFill="1" applyBorder="1" applyProtection="1"/>
    <xf numFmtId="174" fontId="11" fillId="0" borderId="27" xfId="0" applyNumberFormat="1" applyFont="1" applyBorder="1" applyProtection="1"/>
    <xf numFmtId="174" fontId="7" fillId="27" borderId="26" xfId="0" applyNumberFormat="1" applyFont="1" applyFill="1" applyBorder="1" applyProtection="1"/>
    <xf numFmtId="174" fontId="11" fillId="28" borderId="26" xfId="0" applyNumberFormat="1" applyFont="1" applyFill="1" applyBorder="1" applyProtection="1"/>
    <xf numFmtId="173" fontId="11" fillId="0" borderId="27" xfId="0" applyNumberFormat="1" applyFont="1" applyBorder="1" applyProtection="1"/>
    <xf numFmtId="173" fontId="11" fillId="0" borderId="18" xfId="86" applyNumberFormat="1" applyFont="1" applyBorder="1" applyProtection="1"/>
    <xf numFmtId="174" fontId="7" fillId="27" borderId="27" xfId="0" applyNumberFormat="1" applyFont="1" applyFill="1" applyBorder="1" applyProtection="1"/>
    <xf numFmtId="174" fontId="11" fillId="28" borderId="27" xfId="0" applyNumberFormat="1" applyFont="1" applyFill="1" applyBorder="1" applyProtection="1"/>
    <xf numFmtId="174" fontId="11" fillId="28" borderId="27" xfId="0" applyNumberFormat="1" applyFont="1" applyFill="1" applyBorder="1" applyAlignment="1" applyProtection="1">
      <alignment wrapText="1"/>
    </xf>
    <xf numFmtId="0" fontId="11" fillId="0" borderId="28" xfId="0" applyNumberFormat="1" applyFont="1" applyBorder="1" applyAlignment="1" applyProtection="1">
      <alignment horizontal="center"/>
    </xf>
    <xf numFmtId="173" fontId="11" fillId="0" borderId="6" xfId="0" applyNumberFormat="1" applyFont="1" applyBorder="1" applyProtection="1"/>
    <xf numFmtId="173" fontId="11" fillId="0" borderId="28" xfId="0" applyNumberFormat="1" applyFont="1" applyBorder="1" applyProtection="1"/>
    <xf numFmtId="173" fontId="11" fillId="0" borderId="28" xfId="86" applyNumberFormat="1" applyFont="1" applyBorder="1" applyProtection="1"/>
    <xf numFmtId="174" fontId="11" fillId="0" borderId="28" xfId="0" applyNumberFormat="1" applyFont="1" applyBorder="1" applyProtection="1"/>
    <xf numFmtId="174" fontId="7" fillId="27" borderId="28" xfId="0" applyNumberFormat="1" applyFont="1" applyFill="1" applyBorder="1" applyProtection="1"/>
    <xf numFmtId="174" fontId="11" fillId="28" borderId="28" xfId="0" applyNumberFormat="1" applyFont="1" applyFill="1" applyBorder="1" applyProtection="1"/>
    <xf numFmtId="10" fontId="0" fillId="0" borderId="0" xfId="282" applyNumberFormat="1" applyFont="1" applyAlignment="1" applyProtection="1">
      <alignment horizontal="right"/>
    </xf>
    <xf numFmtId="172" fontId="11" fillId="0" borderId="21" xfId="273" applyFont="1" applyBorder="1" applyAlignment="1" applyProtection="1"/>
    <xf numFmtId="172" fontId="11" fillId="0" borderId="15" xfId="273" applyFont="1" applyBorder="1" applyAlignment="1" applyProtection="1"/>
    <xf numFmtId="3" fontId="11" fillId="0" borderId="25" xfId="273" applyNumberFormat="1" applyFont="1" applyBorder="1" applyAlignment="1" applyProtection="1"/>
    <xf numFmtId="172" fontId="11" fillId="0" borderId="17" xfId="273" applyFont="1" applyBorder="1" applyAlignment="1" applyProtection="1"/>
    <xf numFmtId="3" fontId="11" fillId="0" borderId="18" xfId="273" applyNumberFormat="1" applyFont="1" applyBorder="1" applyAlignment="1" applyProtection="1"/>
    <xf numFmtId="0" fontId="11" fillId="0" borderId="0" xfId="273"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5" xfId="0" applyNumberFormat="1" applyFont="1" applyBorder="1" applyProtection="1"/>
    <xf numFmtId="166" fontId="11" fillId="0" borderId="19" xfId="273" applyNumberFormat="1" applyFont="1" applyBorder="1" applyAlignment="1" applyProtection="1">
      <alignment horizontal="center"/>
    </xf>
    <xf numFmtId="0" fontId="11" fillId="0" borderId="6" xfId="273" applyNumberFormat="1" applyFont="1" applyBorder="1" applyAlignment="1" applyProtection="1">
      <alignment horizontal="center"/>
    </xf>
    <xf numFmtId="173" fontId="11" fillId="0" borderId="6" xfId="273" quotePrefix="1" applyNumberFormat="1" applyFont="1" applyBorder="1" applyAlignment="1" applyProtection="1">
      <alignment horizontal="center"/>
    </xf>
    <xf numFmtId="41" fontId="11" fillId="0" borderId="0" xfId="273" applyNumberFormat="1" applyFont="1" applyFill="1" applyBorder="1" applyAlignment="1" applyProtection="1">
      <alignment horizontal="right"/>
    </xf>
    <xf numFmtId="10" fontId="11" fillId="0" borderId="0" xfId="282" applyNumberFormat="1" applyFont="1" applyFill="1" applyBorder="1" applyAlignment="1" applyProtection="1"/>
    <xf numFmtId="0" fontId="120" fillId="26"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9"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6" xfId="0" applyNumberFormat="1" applyFont="1" applyBorder="1" applyProtection="1"/>
    <xf numFmtId="174" fontId="11" fillId="0" borderId="26" xfId="0" applyNumberFormat="1" applyFont="1" applyBorder="1" applyProtection="1"/>
    <xf numFmtId="0" fontId="8" fillId="0" borderId="0" xfId="273" applyNumberFormat="1" applyFont="1" applyFill="1" applyBorder="1" applyAlignment="1" applyProtection="1">
      <alignment vertical="center"/>
    </xf>
    <xf numFmtId="0" fontId="100" fillId="0" borderId="0" xfId="0" applyFont="1" applyProtection="1"/>
    <xf numFmtId="0" fontId="8" fillId="0" borderId="0" xfId="273" applyNumberFormat="1" applyFont="1" applyFill="1" applyBorder="1" applyAlignment="1" applyProtection="1">
      <alignment vertical="top"/>
    </xf>
    <xf numFmtId="0" fontId="21" fillId="0" borderId="0" xfId="0" applyFont="1" applyAlignment="1" applyProtection="1"/>
    <xf numFmtId="0" fontId="104" fillId="0" borderId="0" xfId="275" applyFont="1" applyAlignment="1" applyProtection="1"/>
    <xf numFmtId="0" fontId="2" fillId="0" borderId="0" xfId="275" applyProtection="1"/>
    <xf numFmtId="44" fontId="104" fillId="0" borderId="0" xfId="123" applyFont="1" applyAlignment="1" applyProtection="1"/>
    <xf numFmtId="0" fontId="105" fillId="0" borderId="0" xfId="275" applyFont="1" applyProtection="1"/>
    <xf numFmtId="0" fontId="75" fillId="0" borderId="30" xfId="275" applyFont="1" applyBorder="1" applyAlignment="1" applyProtection="1">
      <alignment horizontal="center"/>
    </xf>
    <xf numFmtId="0" fontId="106" fillId="0" borderId="0" xfId="275" applyFont="1" applyAlignment="1" applyProtection="1">
      <alignment horizontal="center"/>
    </xf>
    <xf numFmtId="0" fontId="107" fillId="0" borderId="0" xfId="275" applyFont="1" applyProtection="1"/>
    <xf numFmtId="175" fontId="106" fillId="0" borderId="0" xfId="275" applyNumberFormat="1" applyFont="1" applyAlignment="1" applyProtection="1">
      <alignment horizontal="center"/>
    </xf>
    <xf numFmtId="0" fontId="106" fillId="0" borderId="0" xfId="275" applyFont="1" applyProtection="1"/>
    <xf numFmtId="175" fontId="106" fillId="0" borderId="0" xfId="275" quotePrefix="1" applyNumberFormat="1" applyFont="1" applyAlignment="1" applyProtection="1">
      <alignment horizontal="center"/>
    </xf>
    <xf numFmtId="193" fontId="106" fillId="0" borderId="0" xfId="275" quotePrefix="1" applyNumberFormat="1" applyFont="1" applyAlignment="1" applyProtection="1">
      <alignment horizontal="center"/>
    </xf>
    <xf numFmtId="0" fontId="108" fillId="0" borderId="0" xfId="275" applyFont="1" applyProtection="1"/>
    <xf numFmtId="0" fontId="109" fillId="0" borderId="16" xfId="275" applyFont="1" applyBorder="1" applyProtection="1"/>
    <xf numFmtId="0" fontId="105" fillId="0" borderId="16" xfId="275" applyFont="1" applyBorder="1" applyProtection="1"/>
    <xf numFmtId="0" fontId="2" fillId="0" borderId="0" xfId="275" applyFont="1" applyBorder="1" applyAlignment="1" applyProtection="1">
      <alignment horizontal="left"/>
    </xf>
    <xf numFmtId="0" fontId="105" fillId="0" borderId="0" xfId="275" applyFont="1" applyBorder="1" applyProtection="1"/>
    <xf numFmtId="0" fontId="2" fillId="0" borderId="0" xfId="275" applyFont="1" applyBorder="1" applyProtection="1"/>
    <xf numFmtId="0" fontId="110" fillId="0" borderId="0" xfId="275" applyFont="1" applyProtection="1"/>
    <xf numFmtId="175" fontId="2" fillId="0" borderId="0" xfId="275" quotePrefix="1" applyNumberFormat="1" applyAlignment="1" applyProtection="1">
      <alignment horizontal="right"/>
    </xf>
    <xf numFmtId="0" fontId="110" fillId="0" borderId="0" xfId="275" applyFont="1" applyAlignment="1" applyProtection="1">
      <alignment horizontal="right"/>
    </xf>
    <xf numFmtId="0" fontId="111" fillId="0" borderId="0" xfId="275" applyFont="1" applyProtection="1"/>
    <xf numFmtId="0" fontId="2" fillId="0" borderId="0" xfId="275" applyFont="1" applyAlignment="1" applyProtection="1">
      <alignment horizontal="left" wrapText="1"/>
    </xf>
    <xf numFmtId="0" fontId="112" fillId="0" borderId="0" xfId="275" applyFont="1" applyProtection="1"/>
    <xf numFmtId="0" fontId="41" fillId="0" borderId="0" xfId="275" applyFont="1" applyProtection="1"/>
    <xf numFmtId="0" fontId="4" fillId="0" borderId="0" xfId="271" applyFont="1" applyProtection="1"/>
    <xf numFmtId="0" fontId="1" fillId="0" borderId="0" xfId="271" applyProtection="1"/>
    <xf numFmtId="0" fontId="1" fillId="0" borderId="0" xfId="271" applyAlignment="1" applyProtection="1">
      <alignment horizontal="center"/>
    </xf>
    <xf numFmtId="0" fontId="117" fillId="0" borderId="0" xfId="0" applyFont="1" applyFill="1" applyAlignment="1" applyProtection="1">
      <alignment horizontal="left"/>
    </xf>
    <xf numFmtId="0" fontId="117" fillId="0" borderId="0" xfId="0" applyFont="1" applyFill="1" applyProtection="1"/>
    <xf numFmtId="0" fontId="117" fillId="0" borderId="26" xfId="0" applyFont="1" applyFill="1" applyBorder="1" applyAlignment="1" applyProtection="1">
      <alignment horizontal="center" wrapText="1"/>
    </xf>
    <xf numFmtId="0" fontId="117" fillId="0" borderId="27" xfId="0" applyFont="1" applyFill="1" applyBorder="1" applyAlignment="1" applyProtection="1">
      <alignment horizontal="center" wrapText="1"/>
    </xf>
    <xf numFmtId="0" fontId="117" fillId="0" borderId="27" xfId="0" applyFont="1" applyFill="1" applyBorder="1" applyProtection="1"/>
    <xf numFmtId="170" fontId="118" fillId="0" borderId="0" xfId="0" applyNumberFormat="1" applyFont="1" applyFill="1" applyAlignment="1" applyProtection="1">
      <alignment horizontal="right"/>
    </xf>
    <xf numFmtId="170" fontId="117" fillId="0" borderId="0" xfId="0" applyNumberFormat="1" applyFont="1" applyFill="1" applyAlignment="1" applyProtection="1">
      <alignment horizontal="center"/>
    </xf>
    <xf numFmtId="170" fontId="117" fillId="0" borderId="0" xfId="0" applyNumberFormat="1" applyFont="1" applyFill="1" applyProtection="1"/>
    <xf numFmtId="170" fontId="118" fillId="0" borderId="0" xfId="0" applyNumberFormat="1" applyFont="1" applyFill="1" applyAlignment="1" applyProtection="1">
      <alignment horizontal="center"/>
    </xf>
    <xf numFmtId="170" fontId="4" fillId="0" borderId="0" xfId="0" applyNumberFormat="1" applyFont="1" applyFill="1" applyProtection="1"/>
    <xf numFmtId="5" fontId="117" fillId="0" borderId="28" xfId="0" applyNumberFormat="1" applyFont="1" applyFill="1" applyBorder="1" applyAlignment="1" applyProtection="1">
      <alignment horizontal="center"/>
    </xf>
    <xf numFmtId="173" fontId="117" fillId="0" borderId="0" xfId="0" applyNumberFormat="1" applyFont="1" applyFill="1" applyProtection="1"/>
    <xf numFmtId="0" fontId="117" fillId="0" borderId="0" xfId="0" applyFont="1" applyFill="1" applyAlignment="1" applyProtection="1">
      <alignment horizontal="center"/>
    </xf>
    <xf numFmtId="173" fontId="117" fillId="0" borderId="6" xfId="0" applyNumberFormat="1" applyFont="1" applyFill="1" applyBorder="1" applyProtection="1"/>
    <xf numFmtId="0" fontId="117" fillId="0" borderId="6" xfId="0" applyFont="1" applyFill="1" applyBorder="1" applyAlignment="1" applyProtection="1">
      <alignment horizontal="center"/>
    </xf>
    <xf numFmtId="0" fontId="4" fillId="0" borderId="6" xfId="0" applyFont="1" applyFill="1" applyBorder="1" applyProtection="1"/>
    <xf numFmtId="173" fontId="117" fillId="0" borderId="0" xfId="0" applyNumberFormat="1" applyFont="1" applyFill="1" applyAlignment="1" applyProtection="1">
      <alignment horizontal="left"/>
    </xf>
    <xf numFmtId="0" fontId="118" fillId="0" borderId="0" xfId="0" applyNumberFormat="1" applyFont="1" applyFill="1" applyAlignment="1" applyProtection="1">
      <alignment horizontal="left"/>
    </xf>
    <xf numFmtId="0" fontId="118" fillId="0" borderId="0" xfId="0" applyFont="1" applyFill="1" applyAlignment="1" applyProtection="1">
      <alignment horizontal="center" wrapText="1"/>
    </xf>
    <xf numFmtId="0" fontId="118" fillId="0" borderId="0" xfId="0" applyFont="1" applyFill="1" applyAlignment="1" applyProtection="1">
      <alignment horizontal="center"/>
    </xf>
    <xf numFmtId="173" fontId="118" fillId="0" borderId="0" xfId="0" applyNumberFormat="1" applyFont="1" applyFill="1" applyAlignment="1" applyProtection="1">
      <alignment horizontal="center" wrapText="1"/>
    </xf>
    <xf numFmtId="173" fontId="118" fillId="0" borderId="0" xfId="0" applyNumberFormat="1" applyFont="1" applyFill="1" applyAlignment="1" applyProtection="1">
      <alignment horizontal="center"/>
    </xf>
    <xf numFmtId="175" fontId="117" fillId="0" borderId="0" xfId="284" applyNumberFormat="1" applyFont="1" applyFill="1" applyProtection="1"/>
    <xf numFmtId="173" fontId="117" fillId="0" borderId="0" xfId="0" applyNumberFormat="1" applyFont="1" applyFill="1" applyAlignment="1" applyProtection="1">
      <alignment horizontal="center"/>
    </xf>
    <xf numFmtId="0" fontId="119" fillId="0" borderId="0" xfId="0" applyFont="1" applyFill="1" applyAlignment="1" applyProtection="1">
      <alignment horizontal="center"/>
    </xf>
    <xf numFmtId="173" fontId="117" fillId="0" borderId="0" xfId="89" applyNumberFormat="1" applyFont="1" applyFill="1" applyProtection="1"/>
    <xf numFmtId="175" fontId="117" fillId="0" borderId="0" xfId="0" applyNumberFormat="1" applyFont="1" applyFill="1" applyProtection="1"/>
    <xf numFmtId="0" fontId="117" fillId="0" borderId="0" xfId="0" applyNumberFormat="1" applyFont="1" applyFill="1" applyProtection="1"/>
    <xf numFmtId="173" fontId="117" fillId="0" borderId="11" xfId="89" applyNumberFormat="1" applyFont="1" applyFill="1" applyBorder="1" applyProtection="1"/>
    <xf numFmtId="173" fontId="118" fillId="0" borderId="0" xfId="89" applyNumberFormat="1" applyFont="1" applyFill="1" applyProtection="1"/>
    <xf numFmtId="173" fontId="118" fillId="0" borderId="0" xfId="89" applyNumberFormat="1" applyFont="1" applyFill="1" applyAlignment="1" applyProtection="1">
      <alignment horizontal="center"/>
    </xf>
    <xf numFmtId="0" fontId="119" fillId="0" borderId="0" xfId="0" applyFont="1" applyFill="1" applyProtection="1"/>
    <xf numFmtId="195" fontId="4" fillId="0" borderId="0" xfId="0" applyNumberFormat="1" applyFont="1" applyFill="1" applyProtection="1"/>
    <xf numFmtId="173" fontId="4" fillId="0" borderId="0" xfId="89" applyNumberFormat="1" applyFont="1" applyFill="1" applyProtection="1"/>
    <xf numFmtId="173" fontId="4" fillId="0" borderId="0" xfId="124" applyNumberFormat="1" applyFont="1" applyFill="1" applyProtection="1"/>
    <xf numFmtId="0" fontId="0" fillId="0" borderId="0" xfId="0" applyFill="1" applyAlignment="1" applyProtection="1">
      <alignment horizontal="left"/>
    </xf>
    <xf numFmtId="0" fontId="18" fillId="29" borderId="0" xfId="86" applyNumberFormat="1" applyFont="1" applyFill="1" applyAlignment="1" applyProtection="1">
      <protection locked="0"/>
    </xf>
    <xf numFmtId="173" fontId="18" fillId="29" borderId="0" xfId="86" applyNumberFormat="1" applyFont="1" applyFill="1" applyAlignment="1" applyProtection="1">
      <alignment horizontal="right"/>
      <protection locked="0"/>
    </xf>
    <xf numFmtId="41" fontId="18" fillId="29" borderId="0" xfId="273" applyNumberFormat="1" applyFont="1" applyFill="1" applyAlignment="1" applyProtection="1">
      <protection locked="0"/>
    </xf>
    <xf numFmtId="41" fontId="18" fillId="29" borderId="6" xfId="273" applyNumberFormat="1" applyFont="1" applyFill="1" applyBorder="1" applyAlignment="1" applyProtection="1">
      <protection locked="0"/>
    </xf>
    <xf numFmtId="3" fontId="18" fillId="29" borderId="0" xfId="273" applyNumberFormat="1" applyFont="1" applyFill="1" applyAlignment="1" applyProtection="1">
      <protection locked="0"/>
    </xf>
    <xf numFmtId="3" fontId="18" fillId="29" borderId="6" xfId="273" applyNumberFormat="1" applyFont="1" applyFill="1" applyBorder="1" applyAlignment="1" applyProtection="1">
      <protection locked="0"/>
    </xf>
    <xf numFmtId="10" fontId="18" fillId="29" borderId="0" xfId="282" applyNumberFormat="1" applyFont="1" applyFill="1" applyAlignment="1" applyProtection="1">
      <protection locked="0"/>
    </xf>
    <xf numFmtId="173" fontId="7" fillId="29" borderId="0" xfId="90" applyNumberFormat="1" applyFont="1" applyFill="1" applyBorder="1" applyAlignment="1" applyProtection="1">
      <alignment horizontal="right"/>
      <protection locked="0"/>
    </xf>
    <xf numFmtId="0" fontId="31" fillId="29" borderId="0" xfId="222" applyFont="1" applyFill="1" applyBorder="1" applyProtection="1">
      <protection locked="0"/>
    </xf>
    <xf numFmtId="173" fontId="7" fillId="29" borderId="11" xfId="90" applyNumberFormat="1" applyFont="1" applyFill="1" applyBorder="1" applyAlignment="1" applyProtection="1">
      <alignment horizontal="right"/>
      <protection locked="0"/>
    </xf>
    <xf numFmtId="41" fontId="7" fillId="29" borderId="0" xfId="263" applyNumberFormat="1" applyFont="1" applyFill="1" applyProtection="1">
      <protection locked="0"/>
    </xf>
    <xf numFmtId="41" fontId="7" fillId="29" borderId="11" xfId="263" applyNumberFormat="1" applyFont="1" applyFill="1" applyBorder="1" applyProtection="1">
      <protection locked="0"/>
    </xf>
    <xf numFmtId="37" fontId="7" fillId="29" borderId="0" xfId="0" applyNumberFormat="1" applyFont="1" applyFill="1" applyProtection="1">
      <protection locked="0"/>
    </xf>
    <xf numFmtId="3" fontId="62" fillId="29" borderId="0" xfId="0" applyNumberFormat="1" applyFont="1" applyFill="1" applyProtection="1">
      <protection locked="0"/>
    </xf>
    <xf numFmtId="3" fontId="121" fillId="29" borderId="0" xfId="0" applyNumberFormat="1" applyFont="1" applyFill="1" applyProtection="1">
      <protection locked="0"/>
    </xf>
    <xf numFmtId="37" fontId="121" fillId="29" borderId="0" xfId="0" applyNumberFormat="1" applyFont="1" applyFill="1" applyProtection="1">
      <protection locked="0"/>
    </xf>
    <xf numFmtId="1" fontId="62" fillId="29" borderId="0" xfId="0" applyNumberFormat="1" applyFont="1" applyFill="1" applyAlignment="1" applyProtection="1">
      <alignment horizontal="left"/>
      <protection locked="0"/>
    </xf>
    <xf numFmtId="38" fontId="62" fillId="0" borderId="15"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29" borderId="0" xfId="121" applyNumberFormat="1" applyFont="1" applyFill="1" applyProtection="1">
      <protection locked="0"/>
    </xf>
    <xf numFmtId="0" fontId="18" fillId="29" borderId="0" xfId="263" applyFont="1" applyFill="1" applyAlignment="1" applyProtection="1">
      <alignment horizontal="center"/>
      <protection locked="0"/>
    </xf>
    <xf numFmtId="3" fontId="18" fillId="29" borderId="0" xfId="0" applyNumberFormat="1" applyFont="1" applyFill="1" applyAlignment="1" applyProtection="1">
      <protection locked="0"/>
    </xf>
    <xf numFmtId="41" fontId="18" fillId="29" borderId="0" xfId="263" applyNumberFormat="1" applyFont="1" applyFill="1" applyBorder="1" applyProtection="1">
      <protection locked="0"/>
    </xf>
    <xf numFmtId="38" fontId="7" fillId="29" borderId="0" xfId="0" applyNumberFormat="1" applyFont="1" applyFill="1" applyBorder="1" applyProtection="1">
      <protection locked="0"/>
    </xf>
    <xf numFmtId="37" fontId="7" fillId="29" borderId="0" xfId="0" applyNumberFormat="1" applyFont="1" applyFill="1" applyBorder="1" applyProtection="1">
      <protection locked="0"/>
    </xf>
    <xf numFmtId="10" fontId="18" fillId="29" borderId="0" xfId="0" applyNumberFormat="1" applyFont="1" applyFill="1" applyBorder="1" applyAlignment="1" applyProtection="1">
      <protection locked="0"/>
    </xf>
    <xf numFmtId="10" fontId="18" fillId="29" borderId="11" xfId="0" applyNumberFormat="1" applyFont="1" applyFill="1" applyBorder="1" applyAlignment="1" applyProtection="1">
      <protection locked="0"/>
    </xf>
    <xf numFmtId="173" fontId="76" fillId="29" borderId="0" xfId="274" applyNumberFormat="1" applyFont="1" applyFill="1" applyBorder="1" applyProtection="1">
      <protection locked="0"/>
    </xf>
    <xf numFmtId="0" fontId="70" fillId="29" borderId="0" xfId="274" applyFont="1" applyFill="1" applyAlignment="1" applyProtection="1">
      <alignment horizontal="center"/>
      <protection locked="0"/>
    </xf>
    <xf numFmtId="0" fontId="7" fillId="29" borderId="0" xfId="86" applyNumberFormat="1" applyFont="1" applyFill="1" applyAlignment="1" applyProtection="1">
      <protection locked="0"/>
    </xf>
    <xf numFmtId="173" fontId="1" fillId="29" borderId="6" xfId="273" applyNumberFormat="1" applyFont="1" applyFill="1" applyBorder="1" applyAlignment="1" applyProtection="1">
      <alignment horizontal="center"/>
      <protection locked="0"/>
    </xf>
    <xf numFmtId="0" fontId="18" fillId="29" borderId="0" xfId="86" applyNumberFormat="1" applyFont="1" applyFill="1" applyAlignment="1" applyProtection="1">
      <alignment horizontal="left"/>
      <protection locked="0"/>
    </xf>
    <xf numFmtId="173" fontId="149" fillId="29" borderId="18" xfId="86" applyNumberFormat="1" applyFont="1" applyFill="1" applyBorder="1" applyAlignment="1" applyProtection="1">
      <alignment horizontal="right"/>
      <protection locked="0"/>
    </xf>
    <xf numFmtId="0" fontId="149" fillId="29" borderId="18" xfId="0" applyFont="1" applyFill="1" applyBorder="1" applyAlignment="1" applyProtection="1">
      <alignment horizontal="right"/>
      <protection locked="0"/>
    </xf>
    <xf numFmtId="173" fontId="7" fillId="29" borderId="18" xfId="86" applyNumberFormat="1" applyFont="1" applyFill="1" applyBorder="1" applyAlignment="1" applyProtection="1">
      <alignment horizontal="right"/>
      <protection locked="0"/>
    </xf>
    <xf numFmtId="0" fontId="7" fillId="29" borderId="20" xfId="0" applyFont="1" applyFill="1" applyBorder="1" applyAlignment="1" applyProtection="1">
      <alignment horizontal="right"/>
      <protection locked="0"/>
    </xf>
    <xf numFmtId="173" fontId="7" fillId="29" borderId="18" xfId="0" applyNumberFormat="1" applyFont="1" applyFill="1" applyBorder="1" applyAlignment="1" applyProtection="1">
      <alignment horizontal="right"/>
      <protection locked="0"/>
    </xf>
    <xf numFmtId="174" fontId="7" fillId="29" borderId="26" xfId="0" applyNumberFormat="1" applyFont="1" applyFill="1" applyBorder="1" applyProtection="1">
      <protection locked="0"/>
    </xf>
    <xf numFmtId="174" fontId="7" fillId="29" borderId="27" xfId="0" applyNumberFormat="1" applyFont="1" applyFill="1" applyBorder="1" applyProtection="1">
      <protection locked="0"/>
    </xf>
    <xf numFmtId="174" fontId="7" fillId="29" borderId="28" xfId="0" applyNumberFormat="1" applyFont="1" applyFill="1" applyBorder="1" applyProtection="1">
      <protection locked="0"/>
    </xf>
    <xf numFmtId="174" fontId="11" fillId="29" borderId="0" xfId="0" applyNumberFormat="1" applyFont="1" applyFill="1" applyBorder="1" applyProtection="1">
      <protection locked="0"/>
    </xf>
    <xf numFmtId="174" fontId="11" fillId="29" borderId="6" xfId="0" applyNumberFormat="1" applyFont="1" applyFill="1" applyBorder="1" applyProtection="1">
      <protection locked="0"/>
    </xf>
    <xf numFmtId="0" fontId="68" fillId="29" borderId="0" xfId="0" applyFont="1" applyFill="1" applyAlignment="1" applyProtection="1">
      <alignment horizontal="left"/>
      <protection locked="0"/>
    </xf>
    <xf numFmtId="0" fontId="7" fillId="29" borderId="18" xfId="0" applyFont="1" applyFill="1" applyBorder="1" applyAlignment="1" applyProtection="1">
      <alignment horizontal="right"/>
      <protection locked="0"/>
    </xf>
    <xf numFmtId="0" fontId="16" fillId="0" borderId="0" xfId="263" applyFont="1" applyAlignment="1">
      <alignment wrapText="1"/>
    </xf>
    <xf numFmtId="173" fontId="7" fillId="29" borderId="0" xfId="89" applyNumberFormat="1" applyFont="1" applyFill="1" applyBorder="1" applyProtection="1">
      <protection locked="0"/>
    </xf>
    <xf numFmtId="173" fontId="19" fillId="29" borderId="0" xfId="86" applyNumberFormat="1" applyFont="1" applyFill="1" applyProtection="1">
      <protection locked="0"/>
    </xf>
    <xf numFmtId="189" fontId="19" fillId="29" borderId="0" xfId="0" applyNumberFormat="1" applyFont="1" applyFill="1" applyProtection="1">
      <protection locked="0"/>
    </xf>
    <xf numFmtId="0" fontId="0" fillId="29" borderId="0" xfId="0" applyFill="1" applyAlignment="1" applyProtection="1">
      <alignment horizontal="center"/>
      <protection locked="0"/>
    </xf>
    <xf numFmtId="0" fontId="19" fillId="29" borderId="0" xfId="0" applyFont="1" applyFill="1" applyProtection="1">
      <protection locked="0"/>
    </xf>
    <xf numFmtId="170" fontId="117" fillId="29" borderId="28" xfId="0" applyNumberFormat="1" applyFont="1" applyFill="1" applyBorder="1" applyAlignment="1" applyProtection="1">
      <alignment horizontal="center"/>
      <protection locked="0"/>
    </xf>
    <xf numFmtId="175" fontId="117" fillId="29" borderId="0" xfId="284" applyNumberFormat="1" applyFont="1" applyFill="1" applyProtection="1">
      <protection locked="0"/>
    </xf>
    <xf numFmtId="197" fontId="150" fillId="26" borderId="0" xfId="0" applyNumberFormat="1" applyFont="1" applyFill="1" applyAlignment="1">
      <alignment horizontal="right"/>
    </xf>
    <xf numFmtId="41" fontId="7" fillId="29" borderId="0" xfId="264" applyNumberFormat="1" applyFont="1" applyFill="1"/>
    <xf numFmtId="41" fontId="7" fillId="29" borderId="11" xfId="264" applyNumberFormat="1" applyFont="1" applyFill="1" applyBorder="1"/>
    <xf numFmtId="173" fontId="7" fillId="0" borderId="0" xfId="121" applyNumberFormat="1" applyFont="1" applyFill="1" applyProtection="1">
      <protection locked="0"/>
    </xf>
    <xf numFmtId="0" fontId="125" fillId="0" borderId="0" xfId="0" applyFont="1" applyAlignment="1">
      <alignment vertical="center"/>
    </xf>
    <xf numFmtId="0" fontId="78" fillId="0" borderId="0" xfId="222" applyNumberFormat="1" applyFont="1" applyFill="1" applyBorder="1" applyAlignment="1">
      <alignment horizontal="center"/>
    </xf>
    <xf numFmtId="173" fontId="76" fillId="0" borderId="0" xfId="274" applyNumberFormat="1" applyFont="1" applyFill="1" applyBorder="1" applyProtection="1">
      <protection locked="0"/>
    </xf>
    <xf numFmtId="0" fontId="70" fillId="0" borderId="0" xfId="274" applyFont="1" applyFill="1" applyAlignment="1" applyProtection="1">
      <alignment horizontal="center"/>
      <protection locked="0"/>
    </xf>
    <xf numFmtId="0" fontId="126" fillId="0" borderId="0" xfId="0" applyNumberFormat="1" applyFont="1" applyAlignment="1">
      <alignment horizontal="center"/>
    </xf>
    <xf numFmtId="172" fontId="11" fillId="0" borderId="0" xfId="269" applyFont="1" applyAlignment="1"/>
    <xf numFmtId="173" fontId="11" fillId="0" borderId="0" xfId="0" applyNumberFormat="1" applyFont="1" applyAlignment="1"/>
    <xf numFmtId="0" fontId="11" fillId="0" borderId="0" xfId="276" applyFont="1"/>
    <xf numFmtId="0" fontId="11" fillId="0" borderId="0" xfId="0" applyNumberFormat="1" applyFont="1" applyAlignment="1">
      <alignment horizontal="center"/>
    </xf>
    <xf numFmtId="173" fontId="11" fillId="0" borderId="31" xfId="89" applyNumberFormat="1" applyFont="1" applyBorder="1"/>
    <xf numFmtId="173" fontId="11" fillId="0" borderId="14" xfId="89" applyNumberFormat="1" applyFont="1" applyBorder="1"/>
    <xf numFmtId="173" fontId="11" fillId="0" borderId="32" xfId="89" applyNumberFormat="1" applyFont="1" applyBorder="1"/>
    <xf numFmtId="0" fontId="11" fillId="0" borderId="14" xfId="0" applyNumberFormat="1" applyFont="1" applyBorder="1" applyAlignment="1">
      <alignment horizontal="center"/>
    </xf>
    <xf numFmtId="173" fontId="7" fillId="29" borderId="33" xfId="90" applyNumberFormat="1" applyFont="1" applyFill="1" applyBorder="1" applyAlignment="1">
      <alignment horizontal="right"/>
    </xf>
    <xf numFmtId="173" fontId="7" fillId="29" borderId="0" xfId="90" applyNumberFormat="1" applyFont="1" applyFill="1" applyBorder="1" applyAlignment="1">
      <alignment horizontal="right"/>
    </xf>
    <xf numFmtId="173" fontId="7" fillId="29" borderId="34" xfId="90" applyNumberFormat="1" applyFont="1" applyFill="1" applyBorder="1" applyAlignment="1">
      <alignment horizontal="right"/>
    </xf>
    <xf numFmtId="0" fontId="11" fillId="0" borderId="11" xfId="276" applyFont="1" applyBorder="1"/>
    <xf numFmtId="0" fontId="11" fillId="0" borderId="35" xfId="0" applyNumberFormat="1" applyFont="1" applyBorder="1" applyAlignment="1">
      <alignment horizontal="center"/>
    </xf>
    <xf numFmtId="0" fontId="11" fillId="0" borderId="0" xfId="276" applyFont="1" applyBorder="1"/>
    <xf numFmtId="0" fontId="11" fillId="0" borderId="34" xfId="0" applyNumberFormat="1" applyFont="1" applyBorder="1" applyAlignment="1">
      <alignment horizontal="center"/>
    </xf>
    <xf numFmtId="0" fontId="11" fillId="0" borderId="0" xfId="276" quotePrefix="1" applyFont="1" applyBorder="1" applyAlignment="1">
      <alignment horizontal="left"/>
    </xf>
    <xf numFmtId="173" fontId="7" fillId="29" borderId="36" xfId="90" applyNumberFormat="1" applyFont="1" applyFill="1" applyBorder="1" applyAlignment="1">
      <alignment horizontal="right"/>
    </xf>
    <xf numFmtId="0" fontId="126" fillId="0" borderId="0" xfId="0" applyFont="1" applyAlignment="1"/>
    <xf numFmtId="3" fontId="11" fillId="0" borderId="37" xfId="222" applyNumberFormat="1" applyFont="1" applyFill="1" applyBorder="1" applyAlignment="1">
      <alignment horizontal="center" wrapText="1"/>
    </xf>
    <xf numFmtId="3" fontId="11" fillId="0" borderId="11" xfId="222" applyNumberFormat="1" applyFont="1" applyFill="1" applyBorder="1" applyAlignment="1">
      <alignment horizontal="center" wrapText="1"/>
    </xf>
    <xf numFmtId="3" fontId="11" fillId="0" borderId="35" xfId="222" applyNumberFormat="1" applyFont="1" applyFill="1" applyBorder="1" applyAlignment="1">
      <alignment horizontal="center" wrapText="1"/>
    </xf>
    <xf numFmtId="0" fontId="8" fillId="0" borderId="0" xfId="276" applyFont="1" applyBorder="1" applyAlignment="1">
      <alignment horizontal="center"/>
    </xf>
    <xf numFmtId="0" fontId="8" fillId="0" borderId="33" xfId="276" applyFont="1" applyBorder="1" applyAlignment="1">
      <alignment horizontal="center"/>
    </xf>
    <xf numFmtId="0" fontId="8" fillId="0" borderId="34" xfId="276" applyFont="1" applyBorder="1" applyAlignment="1">
      <alignment horizontal="center"/>
    </xf>
    <xf numFmtId="0" fontId="8" fillId="0" borderId="33" xfId="276" applyFont="1" applyBorder="1" applyAlignment="1">
      <alignment horizontal="center" wrapText="1"/>
    </xf>
    <xf numFmtId="0" fontId="8" fillId="0" borderId="0" xfId="276" applyFont="1" applyBorder="1" applyAlignment="1">
      <alignment horizontal="center" wrapText="1"/>
    </xf>
    <xf numFmtId="0" fontId="8" fillId="0" borderId="34" xfId="276" applyFont="1" applyBorder="1" applyAlignment="1">
      <alignment horizontal="center" wrapText="1"/>
    </xf>
    <xf numFmtId="0" fontId="11" fillId="0" borderId="34" xfId="0" applyNumberFormat="1" applyFont="1" applyBorder="1" applyAlignment="1">
      <alignment horizontal="center" wrapText="1"/>
    </xf>
    <xf numFmtId="0" fontId="11" fillId="0" borderId="38" xfId="0" applyFont="1" applyBorder="1" applyAlignment="1"/>
    <xf numFmtId="0" fontId="11" fillId="0" borderId="2" xfId="0" applyFont="1" applyBorder="1" applyAlignment="1"/>
    <xf numFmtId="0" fontId="11" fillId="0" borderId="36" xfId="0" applyFont="1" applyBorder="1" applyAlignment="1"/>
    <xf numFmtId="0" fontId="8" fillId="0" borderId="2" xfId="276" applyFont="1" applyBorder="1" applyAlignment="1">
      <alignment horizontal="centerContinuous" wrapText="1"/>
    </xf>
    <xf numFmtId="0" fontId="11" fillId="0" borderId="36" xfId="0" applyNumberFormat="1" applyFont="1" applyBorder="1" applyAlignment="1">
      <alignment horizontal="center"/>
    </xf>
    <xf numFmtId="37" fontId="11" fillId="0" borderId="0" xfId="276" applyNumberFormat="1" applyFont="1"/>
    <xf numFmtId="173" fontId="11" fillId="0" borderId="31" xfId="90" applyNumberFormat="1" applyFont="1" applyBorder="1"/>
    <xf numFmtId="173" fontId="11" fillId="0" borderId="14" xfId="90" applyNumberFormat="1" applyFont="1" applyBorder="1"/>
    <xf numFmtId="0" fontId="11" fillId="0" borderId="39" xfId="276" applyFont="1" applyBorder="1" applyAlignment="1">
      <alignment horizontal="right"/>
    </xf>
    <xf numFmtId="0" fontId="11" fillId="0" borderId="40" xfId="0" applyNumberFormat="1" applyFont="1" applyBorder="1" applyAlignment="1">
      <alignment horizontal="center"/>
    </xf>
    <xf numFmtId="173" fontId="7" fillId="29" borderId="37" xfId="90" applyNumberFormat="1" applyFont="1" applyFill="1" applyBorder="1" applyAlignment="1">
      <alignment horizontal="right"/>
    </xf>
    <xf numFmtId="0" fontId="11" fillId="0" borderId="37" xfId="276" applyFont="1" applyBorder="1"/>
    <xf numFmtId="0" fontId="11" fillId="0" borderId="33" xfId="276" applyFont="1" applyBorder="1"/>
    <xf numFmtId="0" fontId="11" fillId="0" borderId="33" xfId="276" quotePrefix="1" applyFont="1" applyBorder="1" applyAlignment="1">
      <alignment horizontal="left"/>
    </xf>
    <xf numFmtId="173" fontId="7" fillId="29" borderId="38" xfId="90" applyNumberFormat="1" applyFont="1" applyFill="1" applyBorder="1" applyAlignment="1">
      <alignment horizontal="right"/>
    </xf>
    <xf numFmtId="3" fontId="23" fillId="0" borderId="37" xfId="222" applyNumberFormat="1" applyFont="1" applyFill="1" applyBorder="1" applyAlignment="1">
      <alignment horizontal="center" wrapText="1"/>
    </xf>
    <xf numFmtId="3" fontId="23" fillId="0" borderId="11" xfId="222" applyNumberFormat="1" applyFont="1" applyFill="1" applyBorder="1" applyAlignment="1">
      <alignment horizontal="center" wrapText="1"/>
    </xf>
    <xf numFmtId="0" fontId="8" fillId="0" borderId="33" xfId="262" applyFont="1" applyFill="1" applyBorder="1" applyAlignment="1">
      <alignment horizontal="center" wrapText="1"/>
    </xf>
    <xf numFmtId="0" fontId="11" fillId="0" borderId="0" xfId="0" applyFont="1" applyAlignment="1">
      <alignment wrapText="1"/>
    </xf>
    <xf numFmtId="0" fontId="8" fillId="0" borderId="38" xfId="276" applyFont="1" applyBorder="1" applyAlignment="1">
      <alignment horizontal="center" wrapText="1"/>
    </xf>
    <xf numFmtId="0" fontId="11" fillId="0" borderId="36" xfId="0" applyNumberFormat="1" applyFont="1" applyBorder="1" applyAlignment="1">
      <alignment horizontal="center" wrapText="1"/>
    </xf>
    <xf numFmtId="0" fontId="8" fillId="0" borderId="0" xfId="276" applyFont="1" applyAlignment="1">
      <alignment horizontal="centerContinuous"/>
    </xf>
    <xf numFmtId="0" fontId="11" fillId="0" borderId="0" xfId="200" applyFont="1"/>
    <xf numFmtId="0" fontId="8" fillId="0" borderId="0" xfId="276" applyFont="1" applyAlignment="1">
      <alignment horizontal="center"/>
    </xf>
    <xf numFmtId="0" fontId="11" fillId="0" borderId="0" xfId="276" applyFont="1" applyFill="1" applyAlignment="1">
      <alignment horizontal="left"/>
    </xf>
    <xf numFmtId="0" fontId="11" fillId="0" borderId="0" xfId="0" applyFont="1" applyAlignment="1">
      <alignment horizontal="right"/>
    </xf>
    <xf numFmtId="0" fontId="11" fillId="0" borderId="0" xfId="222" applyFont="1" applyFill="1" applyBorder="1" applyAlignment="1">
      <alignment horizontal="left"/>
    </xf>
    <xf numFmtId="0" fontId="16" fillId="0" borderId="0" xfId="222" applyFont="1" applyBorder="1" applyAlignment="1">
      <alignment horizontal="center" vertical="center"/>
    </xf>
    <xf numFmtId="0" fontId="16" fillId="0" borderId="0" xfId="263" applyFont="1" applyAlignment="1">
      <alignment horizontal="center" vertical="center" wrapText="1"/>
    </xf>
    <xf numFmtId="0" fontId="16" fillId="0" borderId="0" xfId="222" quotePrefix="1" applyFont="1" applyBorder="1" applyAlignment="1">
      <alignment horizontal="center" vertical="center" wrapText="1"/>
    </xf>
    <xf numFmtId="0" fontId="16" fillId="0" borderId="0" xfId="222"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173" fontId="62" fillId="0" borderId="11" xfId="86"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1" fillId="0" borderId="0" xfId="276" applyFont="1" applyAlignment="1">
      <alignment horizontal="centerContinuous"/>
    </xf>
    <xf numFmtId="0" fontId="14" fillId="0" borderId="0" xfId="276" applyFont="1" applyFill="1" applyAlignment="1">
      <alignment horizontal="left"/>
    </xf>
    <xf numFmtId="0" fontId="91" fillId="0" borderId="0" xfId="276" applyFont="1" applyAlignment="1">
      <alignment horizontal="center"/>
    </xf>
    <xf numFmtId="0" fontId="8" fillId="0" borderId="41" xfId="276" applyFont="1" applyBorder="1" applyAlignment="1">
      <alignment horizontal="center" wrapText="1"/>
    </xf>
    <xf numFmtId="0" fontId="14" fillId="0" borderId="0" xfId="0" applyFont="1" applyAlignment="1">
      <alignment wrapText="1"/>
    </xf>
    <xf numFmtId="0" fontId="8" fillId="0" borderId="10" xfId="276" applyFont="1" applyBorder="1" applyAlignment="1">
      <alignment horizontal="center"/>
    </xf>
    <xf numFmtId="0" fontId="127" fillId="0" borderId="0" xfId="0" applyFont="1" applyAlignment="1"/>
    <xf numFmtId="3" fontId="23" fillId="0" borderId="35" xfId="222" applyNumberFormat="1" applyFont="1" applyFill="1" applyBorder="1" applyAlignment="1">
      <alignment horizontal="center" wrapText="1"/>
    </xf>
    <xf numFmtId="173" fontId="7" fillId="29" borderId="0" xfId="113" applyNumberFormat="1" applyFont="1" applyFill="1" applyAlignment="1" applyProtection="1">
      <protection locked="0"/>
    </xf>
    <xf numFmtId="41" fontId="11" fillId="0" borderId="10" xfId="276" applyNumberFormat="1" applyFont="1" applyFill="1" applyBorder="1"/>
    <xf numFmtId="173" fontId="11" fillId="0" borderId="42" xfId="89" applyNumberFormat="1" applyFont="1" applyBorder="1"/>
    <xf numFmtId="3" fontId="23" fillId="0" borderId="43" xfId="222" applyNumberFormat="1" applyFont="1" applyFill="1" applyBorder="1" applyAlignment="1">
      <alignment horizontal="center" wrapText="1"/>
    </xf>
    <xf numFmtId="0" fontId="14" fillId="0" borderId="0" xfId="276" applyFont="1"/>
    <xf numFmtId="37" fontId="14" fillId="0" borderId="0" xfId="276" applyNumberFormat="1" applyFont="1"/>
    <xf numFmtId="172" fontId="14" fillId="0" borderId="0" xfId="269" applyFont="1" applyAlignment="1"/>
    <xf numFmtId="0" fontId="11" fillId="0" borderId="0" xfId="265" applyFont="1" applyFill="1" applyAlignment="1" applyProtection="1">
      <alignment vertical="top"/>
    </xf>
    <xf numFmtId="0" fontId="127" fillId="0" borderId="0" xfId="0" applyNumberFormat="1" applyFont="1" applyAlignment="1">
      <alignment horizontal="center"/>
    </xf>
    <xf numFmtId="0" fontId="90" fillId="0" borderId="0" xfId="266" applyFont="1" applyFill="1" applyProtection="1"/>
    <xf numFmtId="0" fontId="91" fillId="0" borderId="0" xfId="0" applyFont="1" applyAlignment="1">
      <alignment horizontal="center"/>
    </xf>
    <xf numFmtId="0" fontId="91" fillId="0" borderId="0" xfId="0" quotePrefix="1" applyFont="1" applyAlignment="1">
      <alignment horizontal="center"/>
    </xf>
    <xf numFmtId="0" fontId="8" fillId="0" borderId="0" xfId="266" applyFont="1" applyFill="1" applyAlignment="1" applyProtection="1">
      <alignment horizontal="left"/>
    </xf>
    <xf numFmtId="173" fontId="11" fillId="0" borderId="0" xfId="89" applyNumberFormat="1" applyFont="1" applyFill="1" applyProtection="1"/>
    <xf numFmtId="0" fontId="11" fillId="0" borderId="0" xfId="266" applyFont="1" applyFill="1" applyProtection="1"/>
    <xf numFmtId="0" fontId="11" fillId="0" borderId="0" xfId="193"/>
    <xf numFmtId="0" fontId="11" fillId="0" borderId="0" xfId="266" applyFont="1" applyFill="1" applyAlignment="1" applyProtection="1">
      <alignment horizontal="left"/>
    </xf>
    <xf numFmtId="173" fontId="7" fillId="29" borderId="0" xfId="89" applyNumberFormat="1" applyFont="1" applyFill="1" applyProtection="1">
      <protection locked="0"/>
    </xf>
    <xf numFmtId="0" fontId="11" fillId="0" borderId="0" xfId="265" applyFont="1" applyFill="1" applyAlignment="1" applyProtection="1">
      <alignment horizontal="left"/>
    </xf>
    <xf numFmtId="173" fontId="7" fillId="0" borderId="0" xfId="89" applyNumberFormat="1" applyFont="1" applyFill="1" applyProtection="1">
      <protection locked="0"/>
    </xf>
    <xf numFmtId="0" fontId="11" fillId="0" borderId="0" xfId="193" applyProtection="1"/>
    <xf numFmtId="10" fontId="11" fillId="0" borderId="0" xfId="284" applyNumberFormat="1" applyFont="1" applyFill="1" applyBorder="1" applyProtection="1"/>
    <xf numFmtId="173" fontId="7" fillId="29" borderId="6" xfId="89" applyNumberFormat="1" applyFont="1" applyFill="1" applyBorder="1" applyAlignment="1" applyProtection="1">
      <protection locked="0"/>
    </xf>
    <xf numFmtId="10" fontId="8" fillId="0" borderId="0" xfId="284" applyNumberFormat="1" applyFont="1" applyFill="1" applyBorder="1" applyProtection="1"/>
    <xf numFmtId="0" fontId="8" fillId="0" borderId="0" xfId="266" applyFont="1" applyFill="1" applyProtection="1"/>
    <xf numFmtId="173" fontId="11" fillId="0" borderId="0" xfId="284" applyNumberFormat="1" applyFont="1" applyFill="1" applyBorder="1" applyProtection="1"/>
    <xf numFmtId="10" fontId="8" fillId="0" borderId="44" xfId="284" applyNumberFormat="1" applyFont="1" applyFill="1" applyBorder="1" applyProtection="1"/>
    <xf numFmtId="0" fontId="99" fillId="0" borderId="0" xfId="193" applyFont="1" applyAlignment="1" applyProtection="1">
      <alignment horizontal="center"/>
    </xf>
    <xf numFmtId="0" fontId="14" fillId="0" borderId="0" xfId="266" applyFont="1" applyFill="1" applyProtection="1"/>
    <xf numFmtId="0" fontId="14" fillId="0" borderId="0" xfId="266" applyFont="1" applyProtection="1"/>
    <xf numFmtId="41" fontId="8" fillId="0" borderId="0" xfId="266" applyNumberFormat="1" applyFont="1" applyFill="1" applyBorder="1" applyAlignment="1" applyProtection="1">
      <alignment horizontal="center" wrapText="1"/>
    </xf>
    <xf numFmtId="0" fontId="8" fillId="0" borderId="0" xfId="266" applyFont="1" applyFill="1" applyAlignment="1" applyProtection="1">
      <alignment horizontal="center" wrapText="1"/>
    </xf>
    <xf numFmtId="0" fontId="7" fillId="29" borderId="0" xfId="266" applyFont="1" applyFill="1" applyProtection="1">
      <protection locked="0"/>
    </xf>
    <xf numFmtId="173" fontId="14" fillId="0" borderId="0" xfId="266" applyNumberFormat="1" applyFont="1" applyFill="1" applyProtection="1"/>
    <xf numFmtId="37" fontId="7" fillId="29" borderId="0" xfId="266" applyNumberFormat="1" applyFont="1" applyFill="1" applyProtection="1">
      <protection locked="0"/>
    </xf>
    <xf numFmtId="173" fontId="7" fillId="29" borderId="0" xfId="266" applyNumberFormat="1" applyFont="1" applyFill="1" applyProtection="1">
      <protection locked="0"/>
    </xf>
    <xf numFmtId="0" fontId="81" fillId="29" borderId="0" xfId="266" applyFont="1" applyFill="1" applyProtection="1">
      <protection locked="0"/>
    </xf>
    <xf numFmtId="0" fontId="11" fillId="0" borderId="11" xfId="0" applyFont="1" applyBorder="1" applyProtection="1"/>
    <xf numFmtId="0" fontId="14" fillId="0" borderId="11" xfId="266" applyFont="1" applyFill="1" applyBorder="1" applyProtection="1"/>
    <xf numFmtId="0" fontId="11" fillId="26" borderId="0" xfId="266" applyFont="1" applyFill="1" applyAlignment="1" applyProtection="1">
      <alignment horizontal="left"/>
    </xf>
    <xf numFmtId="41" fontId="11" fillId="0" borderId="0" xfId="284" applyNumberFormat="1" applyFont="1" applyFill="1" applyBorder="1" applyProtection="1"/>
    <xf numFmtId="173" fontId="14" fillId="0" borderId="0" xfId="266" applyNumberFormat="1" applyFont="1" applyProtection="1"/>
    <xf numFmtId="185" fontId="11" fillId="0" borderId="0" xfId="89" applyNumberFormat="1" applyFont="1" applyFill="1" applyBorder="1" applyProtection="1"/>
    <xf numFmtId="10" fontId="14" fillId="0" borderId="0" xfId="284" applyNumberFormat="1" applyFont="1" applyFill="1" applyProtection="1"/>
    <xf numFmtId="173" fontId="11" fillId="0" borderId="0" xfId="89" applyNumberFormat="1" applyFont="1" applyFill="1" applyBorder="1" applyProtection="1"/>
    <xf numFmtId="173" fontId="8" fillId="0" borderId="44" xfId="89" applyNumberFormat="1" applyFont="1" applyFill="1" applyBorder="1" applyProtection="1"/>
    <xf numFmtId="0" fontId="90" fillId="0" borderId="0" xfId="266" applyFont="1" applyFill="1" applyAlignment="1" applyProtection="1">
      <alignment horizontal="left"/>
    </xf>
    <xf numFmtId="0" fontId="14" fillId="0" borderId="0" xfId="266" applyFont="1" applyFill="1" applyAlignment="1" applyProtection="1">
      <alignment horizontal="left"/>
    </xf>
    <xf numFmtId="0" fontId="16" fillId="0" borderId="0" xfId="266" applyFont="1" applyFill="1" applyAlignment="1" applyProtection="1">
      <alignment horizontal="left"/>
    </xf>
    <xf numFmtId="0" fontId="16" fillId="0" borderId="0" xfId="266" applyFont="1" applyFill="1" applyAlignment="1" applyProtection="1">
      <alignment horizontal="center" wrapText="1"/>
    </xf>
    <xf numFmtId="0" fontId="11" fillId="0" borderId="0" xfId="266" applyFill="1" applyProtection="1"/>
    <xf numFmtId="164" fontId="7" fillId="29" borderId="0" xfId="284" applyNumberFormat="1" applyFont="1" applyFill="1" applyAlignment="1" applyProtection="1">
      <alignment horizontal="right" wrapText="1"/>
      <protection locked="0"/>
    </xf>
    <xf numFmtId="44" fontId="7" fillId="29" borderId="0" xfId="124" applyFont="1" applyFill="1" applyAlignment="1" applyProtection="1">
      <alignment horizontal="right" wrapText="1"/>
      <protection locked="0"/>
    </xf>
    <xf numFmtId="41" fontId="7" fillId="0" borderId="0" xfId="266" applyNumberFormat="1" applyFont="1" applyFill="1" applyBorder="1" applyProtection="1"/>
    <xf numFmtId="173" fontId="11" fillId="0" borderId="0" xfId="89" applyNumberFormat="1" applyFill="1" applyProtection="1"/>
    <xf numFmtId="41" fontId="11" fillId="0" borderId="0" xfId="0" applyNumberFormat="1" applyFont="1" applyFill="1" applyProtection="1"/>
    <xf numFmtId="41" fontId="11" fillId="0" borderId="0" xfId="266" applyNumberFormat="1" applyFill="1" applyBorder="1" applyProtection="1"/>
    <xf numFmtId="41" fontId="91" fillId="0" borderId="0" xfId="266" applyNumberFormat="1" applyFont="1" applyFill="1" applyProtection="1"/>
    <xf numFmtId="41" fontId="11" fillId="0" borderId="12" xfId="266" applyNumberFormat="1" applyFont="1" applyFill="1" applyBorder="1" applyProtection="1"/>
    <xf numFmtId="41" fontId="8" fillId="0" borderId="41" xfId="266" applyNumberFormat="1" applyFont="1" applyFill="1" applyBorder="1" applyProtection="1"/>
    <xf numFmtId="0" fontId="8" fillId="0" borderId="0" xfId="266"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30"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51" fillId="0" borderId="46" xfId="0" applyNumberFormat="1" applyFont="1" applyFill="1" applyBorder="1" applyAlignment="1"/>
    <xf numFmtId="37" fontId="151" fillId="0" borderId="0" xfId="0" applyNumberFormat="1" applyFont="1" applyFill="1" applyAlignment="1"/>
    <xf numFmtId="186" fontId="11" fillId="0" borderId="0" xfId="263"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52" fillId="0" borderId="0" xfId="273" applyNumberFormat="1" applyFont="1" applyFill="1" applyAlignment="1" applyProtection="1">
      <alignment horizontal="center"/>
    </xf>
    <xf numFmtId="172" fontId="153" fillId="0" borderId="0" xfId="273" applyFont="1" applyFill="1" applyAlignment="1" applyProtection="1"/>
    <xf numFmtId="198" fontId="7" fillId="29" borderId="0" xfId="263" applyNumberFormat="1" applyFont="1" applyFill="1" applyProtection="1">
      <protection locked="0"/>
    </xf>
    <xf numFmtId="0" fontId="154" fillId="0" borderId="0" xfId="0" applyFont="1" applyFill="1" applyAlignment="1">
      <alignment horizontal="left"/>
    </xf>
    <xf numFmtId="10" fontId="70" fillId="29" borderId="0" xfId="282" applyNumberFormat="1" applyFont="1" applyFill="1" applyAlignment="1" applyProtection="1">
      <alignment horizontal="center"/>
      <protection locked="0"/>
    </xf>
    <xf numFmtId="10" fontId="70" fillId="29" borderId="0" xfId="274" applyNumberFormat="1" applyFont="1" applyFill="1" applyAlignment="1" applyProtection="1">
      <alignment horizontal="center"/>
      <protection locked="0"/>
    </xf>
    <xf numFmtId="173" fontId="17" fillId="0" borderId="0" xfId="274" applyNumberFormat="1" applyFont="1"/>
    <xf numFmtId="0" fontId="17" fillId="0" borderId="0" xfId="274" applyNumberFormat="1" applyFont="1" applyAlignment="1">
      <alignment horizontal="center" vertical="center"/>
    </xf>
    <xf numFmtId="0" fontId="17" fillId="0" borderId="0" xfId="274" applyNumberFormat="1" applyFont="1" applyAlignment="1">
      <alignment vertical="center"/>
    </xf>
    <xf numFmtId="0" fontId="70" fillId="0" borderId="0" xfId="274" applyFont="1" applyFill="1" applyAlignment="1">
      <alignment horizontal="center"/>
    </xf>
    <xf numFmtId="0" fontId="155" fillId="0" borderId="0" xfId="274" applyFont="1" applyFill="1" applyAlignment="1">
      <alignment horizontal="right"/>
    </xf>
    <xf numFmtId="173" fontId="155" fillId="0" borderId="0" xfId="274" applyNumberFormat="1" applyFont="1" applyFill="1"/>
    <xf numFmtId="0" fontId="17" fillId="0" borderId="0" xfId="274" applyFont="1" applyAlignment="1">
      <alignment horizontal="left" indent="2"/>
    </xf>
    <xf numFmtId="0" fontId="131" fillId="0" borderId="0" xfId="274" applyNumberFormat="1" applyFont="1" applyAlignment="1">
      <alignment horizontal="center"/>
    </xf>
    <xf numFmtId="0" fontId="131" fillId="0" borderId="0" xfId="274" applyNumberFormat="1" applyFont="1"/>
    <xf numFmtId="0" fontId="4" fillId="0" borderId="0" xfId="273" applyNumberFormat="1" applyFont="1" applyFill="1" applyAlignment="1" applyProtection="1">
      <alignment horizontal="left" wrapText="1"/>
    </xf>
    <xf numFmtId="0" fontId="156" fillId="0" borderId="11" xfId="274" applyNumberFormat="1" applyFont="1" applyFill="1" applyBorder="1" applyAlignment="1">
      <alignment horizontal="center"/>
    </xf>
    <xf numFmtId="0" fontId="156" fillId="0" borderId="2" xfId="274" applyNumberFormat="1" applyFont="1" applyFill="1" applyBorder="1" applyAlignment="1">
      <alignment horizontal="center"/>
    </xf>
    <xf numFmtId="0" fontId="73" fillId="0" borderId="0" xfId="274" applyFont="1" applyFill="1" applyAlignment="1">
      <alignment horizontal="center" vertical="center"/>
    </xf>
    <xf numFmtId="0" fontId="17" fillId="0" borderId="11" xfId="274" applyNumberFormat="1" applyFont="1" applyBorder="1" applyAlignment="1">
      <alignment horizontal="center"/>
    </xf>
    <xf numFmtId="0" fontId="17" fillId="0" borderId="11" xfId="274" applyNumberFormat="1" applyFont="1" applyBorder="1"/>
    <xf numFmtId="0" fontId="17" fillId="0" borderId="11" xfId="274" applyFont="1" applyBorder="1"/>
    <xf numFmtId="173" fontId="76" fillId="0" borderId="11" xfId="274" applyNumberFormat="1" applyFont="1" applyFill="1" applyBorder="1" applyProtection="1">
      <protection locked="0"/>
    </xf>
    <xf numFmtId="173" fontId="70" fillId="0" borderId="11" xfId="274" applyNumberFormat="1" applyFont="1" applyFill="1" applyBorder="1"/>
    <xf numFmtId="0" fontId="70" fillId="0" borderId="11" xfId="274"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32" fillId="0" borderId="0" xfId="273" applyNumberFormat="1" applyFont="1" applyFill="1" applyAlignment="1" applyProtection="1">
      <alignment horizontal="center"/>
    </xf>
    <xf numFmtId="172" fontId="152" fillId="0" borderId="0" xfId="273" applyFont="1" applyFill="1" applyAlignment="1" applyProtection="1"/>
    <xf numFmtId="0" fontId="7" fillId="29" borderId="0" xfId="90" applyNumberFormat="1" applyFont="1" applyFill="1" applyBorder="1" applyAlignment="1" applyProtection="1">
      <alignment horizontal="center"/>
      <protection locked="0"/>
    </xf>
    <xf numFmtId="41" fontId="7" fillId="29" borderId="0" xfId="265" applyNumberFormat="1" applyFont="1" applyFill="1"/>
    <xf numFmtId="172" fontId="5" fillId="0" borderId="0" xfId="273" applyFont="1" applyFill="1" applyAlignment="1" applyProtection="1">
      <alignment horizontal="center"/>
    </xf>
    <xf numFmtId="3" fontId="5" fillId="0" borderId="0" xfId="273" applyNumberFormat="1" applyFont="1" applyFill="1" applyAlignment="1" applyProtection="1">
      <alignment horizontal="center" vertical="center"/>
    </xf>
    <xf numFmtId="0" fontId="2" fillId="0" borderId="0" xfId="273" applyNumberFormat="1" applyFont="1" applyFill="1" applyBorder="1" applyAlignment="1" applyProtection="1">
      <alignment horizontal="center"/>
    </xf>
    <xf numFmtId="3" fontId="13" fillId="0" borderId="0" xfId="273" applyNumberFormat="1" applyFont="1" applyFill="1" applyAlignment="1" applyProtection="1">
      <alignment horizontal="center"/>
    </xf>
    <xf numFmtId="0" fontId="2" fillId="0" borderId="6" xfId="273" applyNumberFormat="1" applyFont="1" applyFill="1" applyBorder="1" applyAlignment="1" applyProtection="1">
      <alignment horizontal="center"/>
    </xf>
    <xf numFmtId="0" fontId="4" fillId="0" borderId="0" xfId="273" applyNumberFormat="1" applyFont="1" applyFill="1" applyBorder="1" applyAlignment="1" applyProtection="1">
      <alignment vertical="center"/>
    </xf>
    <xf numFmtId="41" fontId="4" fillId="0" borderId="40" xfId="273"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2" fillId="0" borderId="0" xfId="0" applyFont="1" applyFill="1" applyAlignment="1" applyProtection="1">
      <alignment horizontal="center"/>
    </xf>
    <xf numFmtId="0" fontId="11" fillId="0" borderId="0" xfId="277" applyFont="1" applyFill="1" applyAlignment="1" applyProtection="1">
      <alignment horizontal="center"/>
    </xf>
    <xf numFmtId="38" fontId="7" fillId="0" borderId="0" xfId="0" applyNumberFormat="1" applyFont="1" applyFill="1" applyBorder="1" applyProtection="1">
      <protection locked="0"/>
    </xf>
    <xf numFmtId="0" fontId="5" fillId="0" borderId="0" xfId="264" applyFont="1" applyFill="1" applyBorder="1"/>
    <xf numFmtId="0" fontId="72" fillId="0" borderId="0" xfId="274" applyFont="1" applyFill="1" applyAlignment="1">
      <alignment vertical="center" wrapText="1"/>
    </xf>
    <xf numFmtId="0" fontId="5" fillId="0" borderId="0" xfId="263" quotePrefix="1" applyFont="1" applyFill="1" applyBorder="1" applyAlignment="1">
      <alignment horizontal="center"/>
    </xf>
    <xf numFmtId="0" fontId="3" fillId="0" borderId="11" xfId="274" applyNumberFormat="1" applyFont="1" applyFill="1" applyBorder="1" applyAlignment="1">
      <alignment horizontal="center" wrapText="1"/>
    </xf>
    <xf numFmtId="0" fontId="3" fillId="0" borderId="11" xfId="274" applyNumberFormat="1" applyFont="1" applyFill="1" applyBorder="1" applyAlignment="1">
      <alignment horizontal="center" vertical="center"/>
    </xf>
    <xf numFmtId="184" fontId="3" fillId="0" borderId="11" xfId="274" applyNumberFormat="1" applyFont="1" applyFill="1" applyBorder="1" applyAlignment="1">
      <alignment horizontal="center" vertical="center" wrapText="1"/>
    </xf>
    <xf numFmtId="0" fontId="3" fillId="0" borderId="11" xfId="274" applyNumberFormat="1" applyFont="1" applyFill="1" applyBorder="1" applyAlignment="1">
      <alignment horizontal="center" vertical="center" wrapText="1"/>
    </xf>
    <xf numFmtId="184" fontId="3" fillId="0" borderId="11" xfId="274" applyNumberFormat="1" applyFont="1" applyFill="1" applyBorder="1" applyAlignment="1">
      <alignment horizontal="center" vertical="center"/>
    </xf>
    <xf numFmtId="0" fontId="11" fillId="0" borderId="0" xfId="0" applyFont="1" applyFill="1" applyAlignment="1">
      <alignment vertical="center"/>
    </xf>
    <xf numFmtId="173" fontId="73" fillId="0" borderId="0" xfId="274" applyNumberFormat="1" applyFont="1" applyFill="1" applyBorder="1" applyAlignment="1">
      <alignment vertical="center"/>
    </xf>
    <xf numFmtId="0" fontId="3" fillId="0" borderId="0" xfId="274" applyFont="1" applyFill="1" applyAlignment="1">
      <alignment horizontal="right" vertical="center"/>
    </xf>
    <xf numFmtId="0" fontId="70" fillId="0" borderId="0" xfId="274" applyFont="1" applyFill="1" applyAlignment="1">
      <alignment wrapText="1"/>
    </xf>
    <xf numFmtId="0" fontId="11" fillId="0" borderId="0" xfId="267" applyFont="1" applyFill="1" applyAlignment="1" applyProtection="1">
      <alignment horizontal="left"/>
    </xf>
    <xf numFmtId="0" fontId="11" fillId="0" borderId="0" xfId="193" applyFont="1" applyFill="1" applyAlignment="1" applyProtection="1">
      <alignment wrapText="1"/>
    </xf>
    <xf numFmtId="0" fontId="11" fillId="0" borderId="0" xfId="193" applyFont="1" applyFill="1" applyProtection="1"/>
    <xf numFmtId="173" fontId="70" fillId="0" borderId="0" xfId="86" applyNumberFormat="1" applyFont="1" applyFill="1" applyAlignment="1" applyProtection="1">
      <alignment horizontal="center"/>
      <protection locked="0"/>
    </xf>
    <xf numFmtId="0" fontId="11" fillId="0" borderId="0" xfId="175"/>
    <xf numFmtId="0" fontId="105" fillId="0" borderId="0" xfId="275" applyFont="1" applyProtection="1">
      <protection locked="0"/>
    </xf>
    <xf numFmtId="0" fontId="75" fillId="0" borderId="30" xfId="275" applyFont="1" applyBorder="1" applyAlignment="1">
      <alignment horizontal="center"/>
    </xf>
    <xf numFmtId="0" fontId="75" fillId="0" borderId="0" xfId="275" applyFont="1"/>
    <xf numFmtId="0" fontId="106" fillId="0" borderId="0" xfId="275" applyFont="1" applyAlignment="1">
      <alignment horizontal="center"/>
    </xf>
    <xf numFmtId="0" fontId="107" fillId="0" borderId="0" xfId="275" applyFont="1" applyProtection="1">
      <protection locked="0"/>
    </xf>
    <xf numFmtId="175" fontId="106" fillId="0" borderId="0" xfId="275" applyNumberFormat="1" applyFont="1" applyAlignment="1">
      <alignment horizontal="center"/>
    </xf>
    <xf numFmtId="0" fontId="106" fillId="0" borderId="0" xfId="275" applyFont="1"/>
    <xf numFmtId="193" fontId="106" fillId="0" borderId="0" xfId="275" applyNumberFormat="1" applyFont="1" applyAlignment="1">
      <alignment horizontal="center"/>
    </xf>
    <xf numFmtId="0" fontId="2" fillId="0" borderId="0" xfId="275"/>
    <xf numFmtId="175" fontId="2" fillId="0" borderId="0" xfId="275" applyNumberFormat="1"/>
    <xf numFmtId="0" fontId="108" fillId="0" borderId="0" xfId="275" applyFont="1" applyProtection="1">
      <protection locked="0"/>
    </xf>
    <xf numFmtId="175" fontId="105" fillId="0" borderId="0" xfId="275" applyNumberFormat="1" applyFont="1" applyProtection="1">
      <protection locked="0"/>
    </xf>
    <xf numFmtId="0" fontId="109" fillId="0" borderId="16" xfId="275" applyFont="1" applyBorder="1"/>
    <xf numFmtId="0" fontId="105" fillId="0" borderId="16" xfId="275" applyFont="1" applyBorder="1" applyProtection="1">
      <protection locked="0"/>
    </xf>
    <xf numFmtId="0" fontId="105" fillId="0" borderId="0" xfId="275" applyFont="1" applyBorder="1" applyProtection="1">
      <protection locked="0"/>
    </xf>
    <xf numFmtId="0" fontId="2" fillId="0" borderId="0" xfId="275" applyFont="1" applyBorder="1"/>
    <xf numFmtId="0" fontId="110" fillId="0" borderId="0" xfId="275" applyFont="1" applyProtection="1">
      <protection locked="0"/>
    </xf>
    <xf numFmtId="0" fontId="111" fillId="0" borderId="0" xfId="275" applyFont="1"/>
    <xf numFmtId="0" fontId="112" fillId="0" borderId="0" xfId="275" applyFont="1"/>
    <xf numFmtId="0" fontId="4" fillId="0" borderId="0" xfId="272" applyFont="1"/>
    <xf numFmtId="0" fontId="11" fillId="0" borderId="0" xfId="272"/>
    <xf numFmtId="0" fontId="11" fillId="0" borderId="0" xfId="272" applyAlignment="1">
      <alignment horizontal="center"/>
    </xf>
    <xf numFmtId="0" fontId="134" fillId="0" borderId="0" xfId="275" applyFont="1" applyAlignment="1">
      <alignment horizontal="center"/>
    </xf>
    <xf numFmtId="0" fontId="11" fillId="0" borderId="0" xfId="175" applyAlignment="1">
      <alignment wrapText="1"/>
    </xf>
    <xf numFmtId="10" fontId="2" fillId="0" borderId="0" xfId="275" applyNumberFormat="1" applyAlignment="1" applyProtection="1">
      <alignment horizontal="center"/>
    </xf>
    <xf numFmtId="0" fontId="109" fillId="0" borderId="0" xfId="275" applyFont="1" applyBorder="1"/>
    <xf numFmtId="0" fontId="2" fillId="0" borderId="0" xfId="275" applyAlignment="1">
      <alignment horizontal="center"/>
    </xf>
    <xf numFmtId="10" fontId="2" fillId="0" borderId="0" xfId="275" applyNumberFormat="1" applyAlignment="1" applyProtection="1">
      <alignment horizontal="right"/>
    </xf>
    <xf numFmtId="194" fontId="75" fillId="0" borderId="0" xfId="275" applyNumberFormat="1" applyFont="1" applyProtection="1"/>
    <xf numFmtId="10" fontId="75" fillId="0" borderId="0" xfId="275" applyNumberFormat="1" applyFont="1" applyProtection="1"/>
    <xf numFmtId="0" fontId="2" fillId="0" borderId="0" xfId="275" applyAlignment="1"/>
    <xf numFmtId="0" fontId="2" fillId="0" borderId="0" xfId="275" applyFont="1" applyFill="1" applyBorder="1"/>
    <xf numFmtId="194" fontId="2" fillId="0" borderId="0" xfId="275" applyNumberFormat="1" applyBorder="1" applyProtection="1"/>
    <xf numFmtId="0" fontId="109" fillId="0" borderId="30" xfId="275" applyFont="1" applyBorder="1"/>
    <xf numFmtId="0" fontId="105" fillId="0" borderId="30" xfId="275" applyFont="1" applyBorder="1" applyProtection="1">
      <protection locked="0"/>
    </xf>
    <xf numFmtId="10" fontId="2" fillId="0" borderId="30" xfId="275" applyNumberFormat="1" applyBorder="1" applyProtection="1"/>
    <xf numFmtId="0" fontId="5" fillId="0" borderId="0" xfId="0" applyFont="1" applyAlignment="1"/>
    <xf numFmtId="0" fontId="4" fillId="0" borderId="0" xfId="0" applyFont="1" applyAlignment="1">
      <alignment horizontal="left" indent="1"/>
    </xf>
    <xf numFmtId="10" fontId="4" fillId="0" borderId="0" xfId="226" applyNumberFormat="1" applyFont="1" applyFill="1" applyAlignment="1">
      <alignment horizontal="center"/>
    </xf>
    <xf numFmtId="0" fontId="5" fillId="0" borderId="0" xfId="193" applyFont="1" applyAlignment="1">
      <alignment horizontal="right"/>
    </xf>
    <xf numFmtId="10" fontId="4" fillId="0" borderId="0" xfId="226" applyNumberFormat="1" applyFont="1" applyFill="1" applyAlignment="1">
      <alignment horizontal="right"/>
    </xf>
    <xf numFmtId="176" fontId="4" fillId="0" borderId="0" xfId="86" applyNumberFormat="1" applyFont="1" applyAlignment="1">
      <alignment horizontal="center"/>
    </xf>
    <xf numFmtId="0" fontId="11" fillId="0" borderId="32" xfId="0" applyNumberFormat="1" applyFont="1" applyBorder="1" applyAlignment="1">
      <alignment horizontal="center"/>
    </xf>
    <xf numFmtId="0" fontId="11" fillId="0" borderId="31" xfId="276" applyFont="1" applyBorder="1" applyAlignment="1">
      <alignment horizontal="right"/>
    </xf>
    <xf numFmtId="0" fontId="136" fillId="0" borderId="0" xfId="0" applyFont="1" applyAlignment="1">
      <alignment vertical="center"/>
    </xf>
    <xf numFmtId="0" fontId="137" fillId="0" borderId="0" xfId="0" applyFont="1"/>
    <xf numFmtId="0" fontId="132" fillId="0" borderId="0" xfId="0" applyFont="1" applyAlignment="1"/>
    <xf numFmtId="0" fontId="132" fillId="0" borderId="0" xfId="0" applyFont="1" applyAlignment="1">
      <alignment horizontal="left"/>
    </xf>
    <xf numFmtId="0" fontId="132" fillId="0" borderId="0" xfId="222" applyFont="1" applyBorder="1" applyAlignment="1">
      <alignment horizontal="center"/>
    </xf>
    <xf numFmtId="0" fontId="137" fillId="0" borderId="0" xfId="0" applyFont="1" applyAlignment="1">
      <alignment horizontal="center"/>
    </xf>
    <xf numFmtId="0" fontId="138" fillId="0" borderId="0" xfId="222" applyFont="1" applyBorder="1" applyAlignment="1"/>
    <xf numFmtId="0" fontId="132" fillId="0" borderId="0" xfId="222" applyFont="1" applyBorder="1" applyAlignment="1">
      <alignment horizontal="left"/>
    </xf>
    <xf numFmtId="0" fontId="132" fillId="0" borderId="0" xfId="222" applyFont="1" applyBorder="1" applyAlignment="1"/>
    <xf numFmtId="3" fontId="132" fillId="0" borderId="0" xfId="0" applyNumberFormat="1" applyFont="1" applyAlignment="1"/>
    <xf numFmtId="3" fontId="132" fillId="0" borderId="0" xfId="0" applyNumberFormat="1" applyFont="1" applyAlignment="1">
      <alignment horizontal="left"/>
    </xf>
    <xf numFmtId="0" fontId="139" fillId="0" borderId="0" xfId="0" applyFont="1" applyAlignment="1">
      <alignment horizontal="center"/>
    </xf>
    <xf numFmtId="0" fontId="140" fillId="0" borderId="0" xfId="0" applyFont="1" applyAlignment="1"/>
    <xf numFmtId="0" fontId="139" fillId="0" borderId="0" xfId="0" applyFont="1" applyAlignment="1">
      <alignment wrapText="1"/>
    </xf>
    <xf numFmtId="0" fontId="139" fillId="0" borderId="0" xfId="0" applyFont="1"/>
    <xf numFmtId="41" fontId="137" fillId="0" borderId="0" xfId="0" applyNumberFormat="1" applyFont="1"/>
    <xf numFmtId="41" fontId="140" fillId="0" borderId="0" xfId="0" applyNumberFormat="1" applyFont="1" applyAlignment="1"/>
    <xf numFmtId="0" fontId="141" fillId="0" borderId="0" xfId="0" applyFont="1" applyAlignment="1">
      <alignment horizontal="center"/>
    </xf>
    <xf numFmtId="0" fontId="142" fillId="0" borderId="0" xfId="0" applyFont="1" applyFill="1" applyAlignment="1">
      <alignment horizontal="center"/>
    </xf>
    <xf numFmtId="0" fontId="143" fillId="0" borderId="0" xfId="0" applyFont="1" applyAlignment="1">
      <alignment horizontal="center"/>
    </xf>
    <xf numFmtId="0" fontId="140" fillId="0" borderId="0" xfId="0" applyFont="1" applyFill="1"/>
    <xf numFmtId="173" fontId="144" fillId="29" borderId="0" xfId="115" applyNumberFormat="1" applyFont="1" applyFill="1" applyProtection="1">
      <protection locked="0"/>
    </xf>
    <xf numFmtId="41" fontId="140" fillId="0" borderId="0" xfId="268" applyNumberFormat="1" applyFont="1" applyFill="1" applyBorder="1"/>
    <xf numFmtId="41" fontId="137" fillId="0" borderId="0" xfId="0" applyNumberFormat="1" applyFont="1" applyAlignment="1"/>
    <xf numFmtId="173" fontId="137" fillId="0" borderId="0" xfId="0" applyNumberFormat="1" applyFont="1"/>
    <xf numFmtId="0" fontId="137" fillId="0" borderId="0" xfId="0" applyFont="1" applyAlignment="1">
      <alignment wrapText="1"/>
    </xf>
    <xf numFmtId="0" fontId="137" fillId="0" borderId="0" xfId="0" applyFont="1" applyAlignment="1"/>
    <xf numFmtId="0" fontId="137" fillId="0" borderId="11" xfId="0" applyFont="1" applyBorder="1"/>
    <xf numFmtId="0" fontId="140" fillId="0" borderId="11" xfId="0" applyFont="1" applyFill="1" applyBorder="1"/>
    <xf numFmtId="0" fontId="140" fillId="0" borderId="11" xfId="0" applyFont="1" applyBorder="1" applyAlignment="1"/>
    <xf numFmtId="0" fontId="137" fillId="0" borderId="11" xfId="0" applyFont="1" applyBorder="1" applyAlignment="1"/>
    <xf numFmtId="41" fontId="140" fillId="0" borderId="0" xfId="0" applyNumberFormat="1" applyFont="1" applyFill="1"/>
    <xf numFmtId="0" fontId="140" fillId="0" borderId="0" xfId="0" applyFont="1" applyAlignment="1">
      <alignment horizontal="center"/>
    </xf>
    <xf numFmtId="190" fontId="140" fillId="0" borderId="0" xfId="115" applyNumberFormat="1" applyFont="1" applyAlignment="1">
      <alignment horizontal="center"/>
    </xf>
    <xf numFmtId="0" fontId="137" fillId="0" borderId="0" xfId="0" applyFont="1" applyBorder="1"/>
    <xf numFmtId="173" fontId="137" fillId="0" borderId="14" xfId="0" applyNumberFormat="1" applyFont="1" applyBorder="1"/>
    <xf numFmtId="173" fontId="140" fillId="0" borderId="14" xfId="0" applyNumberFormat="1" applyFont="1" applyFill="1" applyBorder="1"/>
    <xf numFmtId="41" fontId="137" fillId="0" borderId="14" xfId="0" applyNumberFormat="1" applyFont="1" applyBorder="1" applyAlignment="1"/>
    <xf numFmtId="43" fontId="140" fillId="0" borderId="0" xfId="0" applyNumberFormat="1" applyFont="1" applyAlignment="1"/>
    <xf numFmtId="0" fontId="140" fillId="0" borderId="0" xfId="0" applyFont="1" applyAlignment="1">
      <alignment wrapText="1"/>
    </xf>
    <xf numFmtId="0" fontId="145" fillId="0" borderId="0" xfId="0" applyFont="1" applyAlignment="1">
      <alignment horizontal="center" wrapText="1"/>
    </xf>
    <xf numFmtId="173" fontId="137" fillId="0" borderId="0" xfId="0" applyNumberFormat="1" applyFont="1" applyAlignment="1">
      <alignment wrapText="1"/>
    </xf>
    <xf numFmtId="0" fontId="139" fillId="0" borderId="0" xfId="0" applyFont="1" applyAlignment="1">
      <alignment horizontal="center" wrapText="1"/>
    </xf>
    <xf numFmtId="43" fontId="139" fillId="0" borderId="0" xfId="115" applyFont="1" applyAlignment="1">
      <alignment horizontal="center" wrapText="1"/>
    </xf>
    <xf numFmtId="173" fontId="137" fillId="0" borderId="0" xfId="0" applyNumberFormat="1" applyFont="1" applyBorder="1"/>
    <xf numFmtId="173" fontId="137" fillId="0" borderId="0" xfId="115" applyNumberFormat="1" applyFont="1"/>
    <xf numFmtId="173" fontId="137" fillId="29" borderId="0" xfId="115" applyNumberFormat="1" applyFont="1" applyFill="1" applyProtection="1">
      <protection locked="0"/>
    </xf>
    <xf numFmtId="173" fontId="139" fillId="0" borderId="0" xfId="115" applyNumberFormat="1" applyFont="1" applyAlignment="1">
      <alignment horizontal="center" wrapText="1"/>
    </xf>
    <xf numFmtId="173" fontId="139" fillId="0" borderId="0" xfId="115" applyNumberFormat="1" applyFont="1"/>
    <xf numFmtId="173" fontId="139" fillId="0" borderId="0" xfId="115" applyNumberFormat="1" applyFont="1" applyAlignment="1">
      <alignment horizontal="center"/>
    </xf>
    <xf numFmtId="173" fontId="137" fillId="29" borderId="0" xfId="0" applyNumberFormat="1" applyFont="1" applyFill="1" applyProtection="1">
      <protection locked="0"/>
    </xf>
    <xf numFmtId="10" fontId="137" fillId="0" borderId="0" xfId="306" applyNumberFormat="1" applyFont="1"/>
    <xf numFmtId="173" fontId="137" fillId="29" borderId="11" xfId="0" applyNumberFormat="1" applyFont="1" applyFill="1" applyBorder="1" applyProtection="1">
      <protection locked="0"/>
    </xf>
    <xf numFmtId="173" fontId="137" fillId="0" borderId="11" xfId="0" applyNumberFormat="1" applyFont="1" applyBorder="1"/>
    <xf numFmtId="173" fontId="137" fillId="0" borderId="11" xfId="115" applyNumberFormat="1" applyFont="1" applyBorder="1"/>
    <xf numFmtId="0" fontId="4" fillId="0" borderId="0" xfId="273" applyNumberFormat="1" applyFont="1" applyFill="1" applyAlignment="1" applyProtection="1">
      <alignment horizontal="left" indent="4"/>
    </xf>
    <xf numFmtId="41" fontId="18" fillId="0" borderId="0" xfId="273" applyNumberFormat="1" applyFont="1" applyFill="1" applyAlignment="1" applyProtection="1">
      <protection locked="0"/>
    </xf>
    <xf numFmtId="0" fontId="11" fillId="29" borderId="0" xfId="222" applyFont="1" applyFill="1" applyBorder="1" applyProtection="1">
      <protection locked="0"/>
    </xf>
    <xf numFmtId="0" fontId="62" fillId="29" borderId="0" xfId="0" applyNumberFormat="1" applyFont="1" applyFill="1" applyAlignment="1" applyProtection="1">
      <alignment horizontal="left"/>
      <protection locked="0"/>
    </xf>
    <xf numFmtId="173" fontId="121" fillId="29" borderId="0" xfId="89" applyNumberFormat="1" applyFont="1" applyFill="1" applyProtection="1">
      <protection locked="0"/>
    </xf>
    <xf numFmtId="0" fontId="18" fillId="29" borderId="0" xfId="265" applyFont="1" applyFill="1" applyAlignment="1" applyProtection="1">
      <alignment horizontal="center"/>
      <protection locked="0"/>
    </xf>
    <xf numFmtId="41" fontId="18" fillId="29" borderId="0" xfId="265" applyNumberFormat="1" applyFont="1" applyFill="1" applyBorder="1" applyProtection="1">
      <protection locked="0"/>
    </xf>
    <xf numFmtId="41" fontId="18" fillId="29" borderId="11" xfId="265" applyNumberFormat="1" applyFont="1" applyFill="1" applyBorder="1" applyProtection="1">
      <protection locked="0"/>
    </xf>
    <xf numFmtId="175" fontId="117" fillId="26" borderId="0" xfId="284" applyNumberFormat="1" applyFont="1" applyFill="1" applyProtection="1">
      <protection locked="0"/>
    </xf>
    <xf numFmtId="173" fontId="11" fillId="0" borderId="0" xfId="89" applyNumberFormat="1" applyFont="1" applyProtection="1"/>
    <xf numFmtId="173" fontId="11" fillId="0" borderId="0" xfId="89" applyNumberFormat="1" applyFont="1" applyBorder="1" applyProtection="1"/>
    <xf numFmtId="0" fontId="18" fillId="29" borderId="0" xfId="89" applyNumberFormat="1" applyFont="1" applyFill="1" applyAlignment="1" applyProtection="1">
      <alignment horizontal="left"/>
      <protection locked="0"/>
    </xf>
    <xf numFmtId="173" fontId="8" fillId="0" borderId="25" xfId="89" applyNumberFormat="1" applyFont="1" applyBorder="1" applyProtection="1"/>
    <xf numFmtId="0" fontId="4" fillId="0" borderId="0" xfId="89" applyNumberFormat="1" applyFont="1" applyFill="1" applyAlignment="1" applyProtection="1">
      <alignment horizontal="left"/>
    </xf>
    <xf numFmtId="0" fontId="4" fillId="0" borderId="0" xfId="89" applyNumberFormat="1" applyFont="1" applyFill="1" applyBorder="1" applyAlignment="1" applyProtection="1">
      <alignment horizontal="left"/>
    </xf>
    <xf numFmtId="0" fontId="5" fillId="0" borderId="0" xfId="89" applyNumberFormat="1" applyFont="1" applyFill="1" applyBorder="1" applyAlignment="1" applyProtection="1">
      <alignment horizontal="left"/>
    </xf>
    <xf numFmtId="173" fontId="8" fillId="0" borderId="29" xfId="89" applyNumberFormat="1" applyFont="1" applyBorder="1" applyProtection="1"/>
    <xf numFmtId="173" fontId="8" fillId="0" borderId="19" xfId="89" applyNumberFormat="1" applyFont="1" applyBorder="1" applyProtection="1"/>
    <xf numFmtId="173" fontId="11" fillId="0" borderId="6" xfId="89" applyNumberFormat="1" applyFont="1" applyBorder="1" applyProtection="1"/>
    <xf numFmtId="173" fontId="11" fillId="0" borderId="20" xfId="89" applyNumberFormat="1" applyFont="1" applyBorder="1" applyProtection="1"/>
    <xf numFmtId="173" fontId="149" fillId="29" borderId="18" xfId="89" applyNumberFormat="1" applyFont="1" applyFill="1" applyBorder="1" applyAlignment="1" applyProtection="1">
      <alignment horizontal="right"/>
      <protection locked="0"/>
    </xf>
    <xf numFmtId="173" fontId="7" fillId="29" borderId="18" xfId="89" applyNumberFormat="1" applyFont="1" applyFill="1" applyBorder="1" applyAlignment="1" applyProtection="1">
      <alignment horizontal="right"/>
      <protection locked="0"/>
    </xf>
    <xf numFmtId="173" fontId="8" fillId="0" borderId="0" xfId="89" applyNumberFormat="1" applyFont="1" applyBorder="1" applyAlignment="1" applyProtection="1">
      <alignment horizontal="center" wrapText="1"/>
    </xf>
    <xf numFmtId="173" fontId="8" fillId="0" borderId="26" xfId="89" applyNumberFormat="1" applyFont="1" applyBorder="1" applyAlignment="1" applyProtection="1">
      <alignment horizontal="center" wrapText="1"/>
    </xf>
    <xf numFmtId="173" fontId="8" fillId="0" borderId="25" xfId="89" applyNumberFormat="1" applyFont="1" applyBorder="1" applyAlignment="1" applyProtection="1">
      <alignment horizontal="center" wrapText="1"/>
    </xf>
    <xf numFmtId="173" fontId="8" fillId="28" borderId="26" xfId="89" applyNumberFormat="1" applyFont="1" applyFill="1" applyBorder="1" applyAlignment="1" applyProtection="1">
      <alignment horizontal="center" wrapText="1"/>
    </xf>
    <xf numFmtId="173" fontId="8" fillId="0" borderId="28" xfId="89" applyNumberFormat="1" applyFont="1" applyBorder="1" applyAlignment="1" applyProtection="1">
      <alignment horizontal="center"/>
    </xf>
    <xf numFmtId="173" fontId="8" fillId="0" borderId="20" xfId="89" applyNumberFormat="1" applyFont="1" applyBorder="1" applyAlignment="1" applyProtection="1">
      <alignment horizontal="center"/>
    </xf>
    <xf numFmtId="173" fontId="8" fillId="28" borderId="28" xfId="89" applyNumberFormat="1" applyFont="1" applyFill="1" applyBorder="1" applyAlignment="1" applyProtection="1">
      <alignment horizontal="center"/>
    </xf>
    <xf numFmtId="173" fontId="11" fillId="0" borderId="27" xfId="89" applyNumberFormat="1" applyFont="1" applyBorder="1" applyProtection="1"/>
    <xf numFmtId="173" fontId="11" fillId="0" borderId="27" xfId="98" applyNumberFormat="1" applyFont="1" applyFill="1" applyBorder="1" applyProtection="1"/>
    <xf numFmtId="173" fontId="11" fillId="0" borderId="18" xfId="98" applyNumberFormat="1" applyFont="1" applyFill="1" applyBorder="1" applyProtection="1"/>
    <xf numFmtId="173" fontId="11" fillId="0" borderId="18" xfId="89" applyNumberFormat="1" applyFont="1" applyBorder="1" applyProtection="1"/>
    <xf numFmtId="0" fontId="11" fillId="30" borderId="27" xfId="0" applyNumberFormat="1" applyFont="1" applyFill="1" applyBorder="1" applyAlignment="1" applyProtection="1">
      <alignment horizontal="center"/>
    </xf>
    <xf numFmtId="173" fontId="11" fillId="26" borderId="0" xfId="0" applyNumberFormat="1" applyFont="1" applyFill="1" applyBorder="1" applyProtection="1"/>
    <xf numFmtId="173" fontId="11" fillId="26" borderId="27" xfId="0" applyNumberFormat="1" applyFont="1" applyFill="1" applyBorder="1" applyProtection="1"/>
    <xf numFmtId="173" fontId="11" fillId="26" borderId="27" xfId="89" applyNumberFormat="1" applyFont="1" applyFill="1" applyBorder="1" applyProtection="1"/>
    <xf numFmtId="173" fontId="11" fillId="26" borderId="18" xfId="89" applyNumberFormat="1" applyFont="1" applyFill="1" applyBorder="1" applyProtection="1"/>
    <xf numFmtId="173" fontId="11" fillId="0" borderId="27" xfId="89" applyNumberFormat="1" applyFont="1" applyFill="1" applyBorder="1" applyProtection="1"/>
    <xf numFmtId="173" fontId="11" fillId="0" borderId="28" xfId="89" applyNumberFormat="1" applyFont="1" applyBorder="1" applyProtection="1"/>
    <xf numFmtId="173" fontId="11" fillId="0" borderId="0" xfId="89" applyNumberFormat="1" applyProtection="1"/>
    <xf numFmtId="174" fontId="149" fillId="29" borderId="27" xfId="0" applyNumberFormat="1" applyFont="1" applyFill="1" applyBorder="1" applyProtection="1">
      <protection locked="0"/>
    </xf>
    <xf numFmtId="174" fontId="151" fillId="28" borderId="27" xfId="0" applyNumberFormat="1" applyFont="1" applyFill="1" applyBorder="1" applyProtection="1"/>
    <xf numFmtId="174" fontId="11" fillId="26" borderId="27" xfId="0" applyNumberFormat="1" applyFont="1" applyFill="1" applyBorder="1" applyProtection="1"/>
    <xf numFmtId="173" fontId="11" fillId="0" borderId="26" xfId="89" applyNumberFormat="1" applyFont="1" applyBorder="1" applyProtection="1"/>
    <xf numFmtId="173" fontId="8" fillId="0" borderId="27" xfId="89" applyNumberFormat="1" applyFont="1" applyBorder="1" applyAlignment="1" applyProtection="1">
      <alignment horizontal="center"/>
    </xf>
    <xf numFmtId="174" fontId="11" fillId="0" borderId="17" xfId="0" applyNumberFormat="1" applyFont="1" applyBorder="1" applyProtection="1"/>
    <xf numFmtId="174" fontId="7" fillId="29" borderId="0" xfId="0" applyNumberFormat="1" applyFont="1" applyFill="1" applyBorder="1" applyProtection="1">
      <protection locked="0"/>
    </xf>
    <xf numFmtId="174" fontId="11" fillId="28" borderId="15" xfId="0" applyNumberFormat="1" applyFont="1" applyFill="1" applyBorder="1" applyProtection="1"/>
    <xf numFmtId="174" fontId="11" fillId="28" borderId="25" xfId="0" applyNumberFormat="1" applyFont="1" applyFill="1" applyBorder="1" applyProtection="1"/>
    <xf numFmtId="174" fontId="11" fillId="28" borderId="0" xfId="0" applyNumberFormat="1" applyFont="1" applyFill="1" applyBorder="1" applyProtection="1"/>
    <xf numFmtId="174" fontId="11" fillId="28" borderId="18" xfId="0" applyNumberFormat="1" applyFont="1" applyFill="1" applyBorder="1" applyProtection="1"/>
    <xf numFmtId="174" fontId="7" fillId="29" borderId="21" xfId="0" applyNumberFormat="1" applyFont="1" applyFill="1" applyBorder="1" applyProtection="1">
      <protection locked="0"/>
    </xf>
    <xf numFmtId="174" fontId="7" fillId="29" borderId="25" xfId="0" applyNumberFormat="1" applyFont="1" applyFill="1" applyBorder="1" applyProtection="1">
      <protection locked="0"/>
    </xf>
    <xf numFmtId="174" fontId="151" fillId="29" borderId="27" xfId="0" applyNumberFormat="1" applyFont="1" applyFill="1" applyBorder="1" applyProtection="1">
      <protection locked="0"/>
    </xf>
    <xf numFmtId="173" fontId="8" fillId="28" borderId="27" xfId="89" applyNumberFormat="1" applyFont="1" applyFill="1" applyBorder="1" applyAlignment="1" applyProtection="1">
      <alignment horizontal="center"/>
    </xf>
    <xf numFmtId="174" fontId="11" fillId="30" borderId="27" xfId="0" applyNumberFormat="1" applyFont="1" applyFill="1" applyBorder="1" applyProtection="1"/>
    <xf numFmtId="0" fontId="11" fillId="26" borderId="27" xfId="0" applyNumberFormat="1" applyFont="1" applyFill="1" applyBorder="1" applyAlignment="1" applyProtection="1">
      <alignment horizontal="center"/>
    </xf>
    <xf numFmtId="0" fontId="149" fillId="29" borderId="18" xfId="89" applyNumberFormat="1" applyFont="1" applyFill="1" applyBorder="1" applyAlignment="1" applyProtection="1">
      <alignment horizontal="right"/>
      <protection locked="0"/>
    </xf>
    <xf numFmtId="173" fontId="11" fillId="26" borderId="28" xfId="0" applyNumberFormat="1" applyFont="1" applyFill="1" applyBorder="1" applyProtection="1"/>
    <xf numFmtId="10" fontId="4" fillId="30" borderId="0" xfId="273" applyNumberFormat="1" applyFont="1" applyFill="1" applyAlignment="1" applyProtection="1"/>
    <xf numFmtId="41" fontId="18" fillId="29" borderId="0" xfId="273" applyNumberFormat="1" applyFont="1" applyFill="1" applyBorder="1" applyAlignment="1" applyProtection="1">
      <protection locked="0"/>
    </xf>
    <xf numFmtId="173" fontId="17" fillId="0" borderId="11" xfId="274" applyNumberFormat="1" applyFont="1" applyFill="1" applyBorder="1" applyAlignment="1">
      <alignment vertical="center"/>
    </xf>
    <xf numFmtId="173" fontId="11" fillId="30" borderId="0" xfId="0" applyNumberFormat="1" applyFont="1" applyFill="1" applyBorder="1" applyProtection="1"/>
    <xf numFmtId="174" fontId="7" fillId="27" borderId="10" xfId="0" applyNumberFormat="1" applyFont="1" applyFill="1" applyBorder="1" applyProtection="1"/>
    <xf numFmtId="9" fontId="4" fillId="0" borderId="0" xfId="0" applyNumberFormat="1" applyFont="1" applyFill="1" applyProtection="1"/>
    <xf numFmtId="164" fontId="137" fillId="26" borderId="0" xfId="284" applyNumberFormat="1" applyFont="1" applyFill="1" applyProtection="1">
      <protection locked="0"/>
    </xf>
    <xf numFmtId="3" fontId="62" fillId="29" borderId="0" xfId="175" applyNumberFormat="1" applyFont="1" applyFill="1" applyProtection="1">
      <protection locked="0"/>
    </xf>
    <xf numFmtId="1" fontId="62" fillId="29" borderId="0" xfId="175" applyNumberFormat="1" applyFont="1" applyFill="1" applyAlignment="1" applyProtection="1">
      <alignment horizontal="left"/>
      <protection locked="0"/>
    </xf>
    <xf numFmtId="37" fontId="121" fillId="29" borderId="0" xfId="175" applyNumberFormat="1" applyFont="1" applyFill="1" applyProtection="1">
      <protection locked="0"/>
    </xf>
    <xf numFmtId="173" fontId="146" fillId="0" borderId="0" xfId="87" applyNumberFormat="1"/>
    <xf numFmtId="173" fontId="146" fillId="0" borderId="0" xfId="87" applyNumberFormat="1" applyFill="1"/>
    <xf numFmtId="173" fontId="11" fillId="0" borderId="0" xfId="87" applyNumberFormat="1" applyFont="1" applyFill="1"/>
    <xf numFmtId="3" fontId="62" fillId="29" borderId="0" xfId="0" quotePrefix="1" applyNumberFormat="1" applyFont="1" applyFill="1" applyProtection="1">
      <protection locked="0"/>
    </xf>
    <xf numFmtId="3" fontId="23" fillId="0" borderId="43" xfId="222" applyNumberFormat="1" applyFont="1" applyFill="1" applyBorder="1" applyAlignment="1">
      <alignment wrapText="1"/>
    </xf>
    <xf numFmtId="173" fontId="11" fillId="0" borderId="48" xfId="0" applyNumberFormat="1" applyFont="1" applyBorder="1" applyProtection="1"/>
    <xf numFmtId="173" fontId="11" fillId="0" borderId="0" xfId="89" applyNumberFormat="1" applyFill="1"/>
    <xf numFmtId="41" fontId="26" fillId="0" borderId="11" xfId="263" applyNumberFormat="1" applyFont="1" applyFill="1" applyBorder="1"/>
    <xf numFmtId="173" fontId="7" fillId="29" borderId="0" xfId="86" applyNumberFormat="1" applyFont="1" applyFill="1" applyProtection="1">
      <protection locked="0"/>
    </xf>
    <xf numFmtId="196" fontId="157" fillId="29" borderId="0" xfId="263" applyNumberFormat="1" applyFont="1" applyFill="1"/>
    <xf numFmtId="0" fontId="76" fillId="29" borderId="0" xfId="274" applyNumberFormat="1" applyFont="1" applyFill="1" applyBorder="1" applyProtection="1">
      <protection locked="0"/>
    </xf>
    <xf numFmtId="41" fontId="7" fillId="0" borderId="0" xfId="263" applyNumberFormat="1" applyFont="1" applyFill="1" applyProtection="1">
      <protection locked="0"/>
    </xf>
    <xf numFmtId="199" fontId="5" fillId="0" borderId="0" xfId="273" applyNumberFormat="1" applyFont="1" applyAlignment="1" applyProtection="1"/>
    <xf numFmtId="0" fontId="4" fillId="0" borderId="0" xfId="274" applyNumberFormat="1" applyFont="1"/>
    <xf numFmtId="173" fontId="4" fillId="0" borderId="0" xfId="274" applyNumberFormat="1" applyFont="1" applyFill="1" applyBorder="1"/>
    <xf numFmtId="173" fontId="4" fillId="0" borderId="0" xfId="274" applyNumberFormat="1" applyFont="1" applyBorder="1"/>
    <xf numFmtId="0" fontId="5" fillId="0" borderId="0" xfId="274" applyFont="1"/>
    <xf numFmtId="0" fontId="4" fillId="0" borderId="0" xfId="274" applyFont="1" applyFill="1" applyBorder="1"/>
    <xf numFmtId="0" fontId="9" fillId="0" borderId="0" xfId="274" applyFont="1"/>
    <xf numFmtId="173" fontId="83" fillId="0" borderId="0" xfId="274" applyNumberFormat="1" applyFont="1" applyBorder="1"/>
    <xf numFmtId="173" fontId="83" fillId="0" borderId="0" xfId="274" applyNumberFormat="1" applyFont="1"/>
    <xf numFmtId="184" fontId="18" fillId="0" borderId="0" xfId="274" applyNumberFormat="1" applyFont="1"/>
    <xf numFmtId="0" fontId="4" fillId="0" borderId="0" xfId="274" applyFont="1" applyFill="1"/>
    <xf numFmtId="173" fontId="83" fillId="0" borderId="0" xfId="274" applyNumberFormat="1" applyFont="1" applyFill="1" applyBorder="1"/>
    <xf numFmtId="39" fontId="4" fillId="0" borderId="0" xfId="270" applyNumberFormat="1" applyFont="1" applyFill="1"/>
    <xf numFmtId="173" fontId="4" fillId="0" borderId="0" xfId="274" applyNumberFormat="1" applyFont="1" applyFill="1"/>
    <xf numFmtId="173" fontId="4" fillId="0" borderId="14" xfId="86" applyNumberFormat="1" applyFont="1" applyBorder="1"/>
    <xf numFmtId="0" fontId="13" fillId="0" borderId="0" xfId="274" applyFont="1" applyAlignment="1">
      <alignment horizontal="center"/>
    </xf>
    <xf numFmtId="0" fontId="158" fillId="0" borderId="0" xfId="274" applyFont="1" applyFill="1"/>
    <xf numFmtId="41" fontId="158" fillId="0" borderId="0" xfId="274" applyNumberFormat="1" applyFont="1" applyFill="1"/>
    <xf numFmtId="41" fontId="158" fillId="0" borderId="0" xfId="274" applyNumberFormat="1" applyFont="1" applyFill="1" applyBorder="1"/>
    <xf numFmtId="41" fontId="4" fillId="0" borderId="0" xfId="274" applyNumberFormat="1" applyFont="1" applyFill="1"/>
    <xf numFmtId="10" fontId="4" fillId="0" borderId="0" xfId="284" applyNumberFormat="1" applyFont="1" applyFill="1"/>
    <xf numFmtId="41" fontId="4" fillId="0" borderId="0" xfId="274" applyNumberFormat="1" applyFont="1" applyFill="1" applyBorder="1"/>
    <xf numFmtId="164" fontId="4" fillId="0" borderId="0" xfId="284" applyNumberFormat="1" applyFont="1" applyFill="1"/>
    <xf numFmtId="10" fontId="18" fillId="29" borderId="11" xfId="284" applyNumberFormat="1" applyFont="1" applyFill="1" applyBorder="1" applyProtection="1">
      <protection locked="0"/>
    </xf>
    <xf numFmtId="41" fontId="18" fillId="29" borderId="11" xfId="274" applyNumberFormat="1" applyFont="1" applyFill="1" applyBorder="1" applyProtection="1">
      <protection locked="0"/>
    </xf>
    <xf numFmtId="41" fontId="159" fillId="31" borderId="0" xfId="274" applyNumberFormat="1" applyFont="1" applyFill="1"/>
    <xf numFmtId="41" fontId="159" fillId="31" borderId="0" xfId="274" applyNumberFormat="1" applyFont="1" applyFill="1" applyBorder="1"/>
    <xf numFmtId="0" fontId="160" fillId="0" borderId="0" xfId="274" applyFont="1" applyFill="1"/>
    <xf numFmtId="10" fontId="4" fillId="0" borderId="11" xfId="284" applyNumberFormat="1" applyFont="1" applyFill="1" applyBorder="1"/>
    <xf numFmtId="173" fontId="4" fillId="0" borderId="0" xfId="89" applyNumberFormat="1" applyFont="1" applyFill="1"/>
    <xf numFmtId="10" fontId="4" fillId="0" borderId="0" xfId="284" applyNumberFormat="1" applyFont="1" applyFill="1" applyBorder="1"/>
    <xf numFmtId="9" fontId="4" fillId="0" borderId="0" xfId="284" applyFont="1" applyFill="1"/>
    <xf numFmtId="0" fontId="5" fillId="0" borderId="0" xfId="274" applyFont="1" applyFill="1"/>
    <xf numFmtId="41" fontId="4" fillId="26" borderId="0" xfId="274" applyNumberFormat="1" applyFont="1" applyFill="1"/>
    <xf numFmtId="0" fontId="4" fillId="26" borderId="0" xfId="274" applyFont="1" applyFill="1"/>
    <xf numFmtId="10" fontId="4" fillId="26" borderId="0" xfId="284" applyNumberFormat="1" applyFont="1" applyFill="1" applyBorder="1"/>
    <xf numFmtId="10" fontId="4" fillId="26" borderId="0" xfId="284" applyNumberFormat="1" applyFont="1" applyFill="1"/>
    <xf numFmtId="41" fontId="159" fillId="28" borderId="0" xfId="274" applyNumberFormat="1" applyFont="1" applyFill="1"/>
    <xf numFmtId="41" fontId="159" fillId="28" borderId="0" xfId="274" applyNumberFormat="1" applyFont="1" applyFill="1" applyBorder="1"/>
    <xf numFmtId="10" fontId="4" fillId="26" borderId="11" xfId="284" applyNumberFormat="1" applyFont="1" applyFill="1" applyBorder="1"/>
    <xf numFmtId="173" fontId="4" fillId="26" borderId="0" xfId="89" applyNumberFormat="1" applyFont="1" applyFill="1"/>
    <xf numFmtId="41" fontId="4" fillId="26" borderId="0" xfId="274" applyNumberFormat="1" applyFont="1" applyFill="1" applyBorder="1"/>
    <xf numFmtId="41" fontId="17" fillId="32" borderId="0" xfId="274" applyNumberFormat="1" applyFont="1" applyFill="1"/>
    <xf numFmtId="0" fontId="17" fillId="32" borderId="0" xfId="274" applyFont="1" applyFill="1"/>
    <xf numFmtId="173" fontId="17" fillId="0" borderId="0" xfId="89" applyNumberFormat="1" applyFont="1" applyFill="1" applyBorder="1"/>
    <xf numFmtId="41" fontId="17" fillId="0" borderId="0" xfId="274" applyNumberFormat="1" applyFont="1" applyFill="1"/>
    <xf numFmtId="0" fontId="4" fillId="0" borderId="0" xfId="0" applyFont="1" applyFill="1" applyAlignment="1" applyProtection="1">
      <alignment horizontal="left" vertical="top" wrapText="1"/>
    </xf>
    <xf numFmtId="0" fontId="4" fillId="0" borderId="0" xfId="273" applyNumberFormat="1" applyFont="1" applyFill="1" applyAlignment="1" applyProtection="1">
      <alignment horizontal="left" wrapText="1"/>
    </xf>
    <xf numFmtId="0" fontId="4" fillId="0" borderId="0" xfId="0" applyFont="1" applyAlignment="1" applyProtection="1">
      <alignment wrapText="1"/>
    </xf>
    <xf numFmtId="0" fontId="4" fillId="0" borderId="0" xfId="273" applyNumberFormat="1" applyFont="1" applyFill="1" applyAlignment="1" applyProtection="1">
      <alignment horizontal="left" vertical="top" wrapText="1"/>
    </xf>
    <xf numFmtId="172" fontId="4" fillId="0" borderId="0" xfId="273" applyFont="1" applyFill="1" applyAlignment="1" applyProtection="1">
      <alignment vertical="top" wrapText="1"/>
    </xf>
    <xf numFmtId="172" fontId="132" fillId="0" borderId="0" xfId="273" applyFont="1" applyFill="1" applyAlignment="1" applyProtection="1">
      <alignment vertical="top" wrapText="1"/>
    </xf>
    <xf numFmtId="172" fontId="113" fillId="0" borderId="0" xfId="273" applyFont="1" applyFill="1" applyAlignment="1" applyProtection="1">
      <alignment wrapText="1"/>
    </xf>
    <xf numFmtId="172" fontId="25" fillId="0" borderId="0" xfId="273" applyFont="1" applyFill="1" applyAlignment="1" applyProtection="1">
      <alignment vertical="top" wrapText="1"/>
    </xf>
    <xf numFmtId="172" fontId="4" fillId="0" borderId="0" xfId="273" applyFont="1" applyAlignment="1" applyProtection="1">
      <alignment horizontal="left" wrapText="1"/>
    </xf>
    <xf numFmtId="172" fontId="4" fillId="0" borderId="0" xfId="273" applyFont="1" applyAlignment="1" applyProtection="1">
      <alignment horizontal="left"/>
    </xf>
    <xf numFmtId="172" fontId="4" fillId="0" borderId="0" xfId="273" applyFont="1" applyFill="1" applyAlignment="1" applyProtection="1">
      <alignment horizontal="left" wrapText="1"/>
    </xf>
    <xf numFmtId="172" fontId="25" fillId="0" borderId="0" xfId="273" applyFont="1" applyFill="1" applyAlignment="1" applyProtection="1">
      <alignment wrapText="1"/>
    </xf>
    <xf numFmtId="0" fontId="25" fillId="0" borderId="0" xfId="273" applyNumberFormat="1" applyFont="1" applyFill="1" applyAlignment="1" applyProtection="1">
      <alignment horizontal="left" wrapText="1"/>
    </xf>
    <xf numFmtId="3" fontId="147" fillId="0" borderId="0" xfId="273" applyNumberFormat="1" applyFont="1" applyFill="1" applyAlignment="1" applyProtection="1">
      <alignment horizontal="center"/>
    </xf>
    <xf numFmtId="3" fontId="4" fillId="0" borderId="0" xfId="273" applyNumberFormat="1" applyFont="1" applyAlignment="1" applyProtection="1">
      <alignment horizontal="left" wrapText="1"/>
    </xf>
    <xf numFmtId="0" fontId="11" fillId="0" borderId="0" xfId="0" applyFont="1" applyAlignment="1" applyProtection="1">
      <alignment horizontal="left" wrapText="1"/>
    </xf>
    <xf numFmtId="172" fontId="75" fillId="0" borderId="0" xfId="273" applyFont="1" applyAlignment="1" applyProtection="1">
      <alignment horizontal="left" wrapText="1"/>
    </xf>
    <xf numFmtId="49" fontId="4" fillId="0" borderId="0" xfId="273" applyNumberFormat="1" applyFont="1" applyAlignment="1" applyProtection="1">
      <alignment horizontal="center"/>
    </xf>
    <xf numFmtId="0" fontId="31" fillId="0" borderId="0" xfId="0" applyFont="1" applyAlignment="1" applyProtection="1">
      <alignment horizontal="center"/>
    </xf>
    <xf numFmtId="0" fontId="9" fillId="0" borderId="0" xfId="273"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73" applyFont="1" applyBorder="1" applyAlignment="1" applyProtection="1">
      <alignment horizontal="center"/>
    </xf>
    <xf numFmtId="0" fontId="4" fillId="0" borderId="0" xfId="0" applyFont="1" applyAlignment="1">
      <alignment horizontal="center"/>
    </xf>
    <xf numFmtId="0" fontId="4" fillId="0" borderId="0" xfId="222" applyFont="1" applyBorder="1" applyAlignment="1">
      <alignment horizontal="center"/>
    </xf>
    <xf numFmtId="0" fontId="8" fillId="0" borderId="49" xfId="276" applyFont="1" applyBorder="1" applyAlignment="1">
      <alignment horizontal="center" wrapText="1"/>
    </xf>
    <xf numFmtId="0" fontId="8" fillId="0" borderId="13" xfId="276" applyFont="1" applyBorder="1" applyAlignment="1">
      <alignment horizontal="center" wrapText="1"/>
    </xf>
    <xf numFmtId="0" fontId="8" fillId="0" borderId="50" xfId="276" applyFont="1" applyBorder="1" applyAlignment="1">
      <alignment horizontal="center" wrapText="1"/>
    </xf>
    <xf numFmtId="0" fontId="8" fillId="0" borderId="49" xfId="200" applyFont="1" applyBorder="1" applyAlignment="1">
      <alignment horizontal="center"/>
    </xf>
    <xf numFmtId="0" fontId="8" fillId="0" borderId="13" xfId="200" applyFont="1" applyBorder="1" applyAlignment="1">
      <alignment horizontal="center"/>
    </xf>
    <xf numFmtId="0" fontId="8" fillId="0" borderId="50" xfId="200" applyFont="1" applyBorder="1" applyAlignment="1">
      <alignment horizontal="center"/>
    </xf>
    <xf numFmtId="3" fontId="4" fillId="0" borderId="0" xfId="222" applyNumberFormat="1" applyFont="1" applyBorder="1" applyAlignment="1">
      <alignment horizontal="center"/>
    </xf>
    <xf numFmtId="0" fontId="11" fillId="0" borderId="0" xfId="222" applyFont="1" applyFill="1" applyBorder="1" applyAlignment="1">
      <alignment horizontal="left" wrapText="1"/>
    </xf>
    <xf numFmtId="0" fontId="16" fillId="0" borderId="0" xfId="263"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22" quotePrefix="1" applyFont="1" applyBorder="1" applyAlignment="1">
      <alignment horizontal="center" wrapText="1"/>
    </xf>
    <xf numFmtId="0" fontId="78" fillId="0" borderId="0" xfId="222" applyNumberFormat="1" applyFont="1" applyFill="1" applyBorder="1" applyAlignment="1">
      <alignment horizontal="center"/>
    </xf>
    <xf numFmtId="0" fontId="11" fillId="0" borderId="0" xfId="222" applyNumberFormat="1" applyFont="1" applyFill="1" applyBorder="1" applyAlignment="1">
      <alignment horizontal="left" wrapText="1"/>
    </xf>
    <xf numFmtId="0" fontId="78" fillId="0" borderId="0" xfId="263" applyFont="1" applyFill="1" applyAlignment="1">
      <alignment horizontal="center"/>
    </xf>
    <xf numFmtId="0" fontId="16" fillId="0" borderId="0" xfId="263" applyFont="1" applyBorder="1" applyAlignment="1">
      <alignment horizontal="center" wrapText="1"/>
    </xf>
    <xf numFmtId="0" fontId="12" fillId="0" borderId="0" xfId="0" applyFont="1" applyBorder="1" applyAlignment="1">
      <alignment horizontal="center" wrapText="1"/>
    </xf>
    <xf numFmtId="0" fontId="78" fillId="0" borderId="0" xfId="0" applyFont="1" applyFill="1" applyAlignment="1">
      <alignment horizontal="center"/>
    </xf>
    <xf numFmtId="0" fontId="11" fillId="0" borderId="0" xfId="0" applyFont="1" applyAlignment="1" applyProtection="1">
      <alignment wrapText="1"/>
    </xf>
    <xf numFmtId="0" fontId="4" fillId="0" borderId="0" xfId="0" applyFont="1" applyAlignment="1" applyProtection="1">
      <alignment horizontal="center"/>
    </xf>
    <xf numFmtId="0" fontId="4" fillId="0" borderId="0" xfId="222" applyFont="1" applyBorder="1" applyAlignment="1" applyProtection="1">
      <alignment horizontal="center"/>
    </xf>
    <xf numFmtId="3" fontId="4" fillId="0" borderId="0" xfId="0" applyNumberFormat="1" applyFont="1" applyAlignment="1" applyProtection="1">
      <alignment horizontal="center"/>
    </xf>
    <xf numFmtId="172" fontId="11" fillId="0" borderId="0" xfId="273" applyFont="1" applyFill="1" applyAlignment="1" applyProtection="1">
      <alignment horizontal="left" vertical="top" wrapText="1"/>
    </xf>
    <xf numFmtId="0" fontId="8" fillId="0" borderId="0" xfId="277" applyFont="1" applyFill="1" applyAlignment="1" applyProtection="1">
      <alignment wrapText="1"/>
    </xf>
    <xf numFmtId="3" fontId="3" fillId="0" borderId="0" xfId="0" applyNumberFormat="1" applyFont="1" applyAlignment="1" applyProtection="1">
      <alignment horizontal="center"/>
    </xf>
    <xf numFmtId="0" fontId="9" fillId="0" borderId="0" xfId="277"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5" fillId="0" borderId="11" xfId="274" applyFont="1" applyBorder="1" applyAlignment="1">
      <alignment horizontal="center"/>
    </xf>
    <xf numFmtId="0" fontId="70" fillId="0" borderId="0" xfId="274" applyFont="1" applyFill="1" applyAlignment="1">
      <alignment horizontal="left" wrapText="1"/>
    </xf>
    <xf numFmtId="0" fontId="70" fillId="0" borderId="0" xfId="274" applyFont="1" applyFill="1" applyAlignment="1">
      <alignment wrapText="1"/>
    </xf>
    <xf numFmtId="0" fontId="3" fillId="0" borderId="0" xfId="222" applyFont="1" applyBorder="1" applyAlignment="1">
      <alignment horizontal="center"/>
    </xf>
    <xf numFmtId="0" fontId="3" fillId="0" borderId="0" xfId="0" applyFont="1" applyAlignment="1">
      <alignment horizontal="center"/>
    </xf>
    <xf numFmtId="0" fontId="68" fillId="29" borderId="0" xfId="0" applyFont="1" applyFill="1" applyAlignment="1" applyProtection="1">
      <alignment horizontal="left" vertical="top"/>
      <protection locked="0"/>
    </xf>
    <xf numFmtId="173" fontId="95" fillId="0" borderId="0" xfId="89" applyNumberFormat="1" applyFont="1" applyBorder="1" applyAlignment="1" applyProtection="1">
      <alignment horizontal="center"/>
    </xf>
    <xf numFmtId="0" fontId="0" fillId="0" borderId="0" xfId="0" applyNumberFormat="1" applyAlignment="1" applyProtection="1">
      <alignment horizontal="left" wrapText="1"/>
    </xf>
    <xf numFmtId="172" fontId="1" fillId="0" borderId="21" xfId="273" applyFont="1" applyBorder="1" applyAlignment="1" applyProtection="1">
      <alignment wrapText="1"/>
    </xf>
    <xf numFmtId="0" fontId="1" fillId="0" borderId="15" xfId="0" applyFont="1" applyBorder="1" applyAlignment="1" applyProtection="1">
      <alignment wrapText="1"/>
    </xf>
    <xf numFmtId="0" fontId="1" fillId="0" borderId="25"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173" fontId="95" fillId="0" borderId="0" xfId="86" applyNumberFormat="1" applyFont="1" applyBorder="1" applyAlignment="1" applyProtection="1">
      <alignment horizontal="center"/>
    </xf>
    <xf numFmtId="0" fontId="11" fillId="0" borderId="0" xfId="0" applyFont="1" applyFill="1" applyBorder="1" applyAlignment="1" applyProtection="1">
      <alignment wrapText="1"/>
    </xf>
    <xf numFmtId="0" fontId="11" fillId="0" borderId="0" xfId="266" applyFont="1" applyFill="1" applyAlignment="1" applyProtection="1">
      <alignment horizontal="left" wrapText="1"/>
    </xf>
    <xf numFmtId="0" fontId="11" fillId="0" borderId="0" xfId="193" applyFont="1" applyFill="1" applyAlignment="1" applyProtection="1">
      <alignment wrapText="1"/>
    </xf>
    <xf numFmtId="0" fontId="88" fillId="0" borderId="0" xfId="266"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66" applyNumberFormat="1" applyFont="1" applyFill="1" applyBorder="1" applyAlignment="1" applyProtection="1">
      <alignment horizontal="center" wrapText="1"/>
    </xf>
    <xf numFmtId="0" fontId="8" fillId="0" borderId="49" xfId="0" applyFont="1" applyBorder="1" applyAlignment="1">
      <alignment horizontal="center"/>
    </xf>
    <xf numFmtId="0" fontId="8" fillId="0" borderId="13" xfId="0" applyFont="1" applyBorder="1" applyAlignment="1">
      <alignment horizontal="center"/>
    </xf>
    <xf numFmtId="0" fontId="8" fillId="0" borderId="50" xfId="0" applyFont="1" applyBorder="1" applyAlignment="1">
      <alignment horizontal="center"/>
    </xf>
    <xf numFmtId="0" fontId="94" fillId="0" borderId="0" xfId="0" applyFont="1" applyAlignment="1">
      <alignment horizontal="center" wrapText="1"/>
    </xf>
    <xf numFmtId="0" fontId="8" fillId="0" borderId="0" xfId="0" applyFont="1" applyAlignment="1">
      <alignment horizontal="center" wrapText="1"/>
    </xf>
    <xf numFmtId="0" fontId="19" fillId="29"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132" fillId="0" borderId="0" xfId="0" applyFont="1" applyAlignment="1">
      <alignment horizontal="center"/>
    </xf>
    <xf numFmtId="0" fontId="132" fillId="0" borderId="0" xfId="222" applyFont="1" applyBorder="1" applyAlignment="1">
      <alignment horizontal="center"/>
    </xf>
    <xf numFmtId="0" fontId="137" fillId="0" borderId="0" xfId="0" applyFont="1" applyAlignment="1">
      <alignment horizontal="center"/>
    </xf>
    <xf numFmtId="0" fontId="132" fillId="0" borderId="0" xfId="222" applyFont="1" applyFill="1" applyBorder="1" applyAlignment="1">
      <alignment horizontal="center"/>
    </xf>
    <xf numFmtId="3" fontId="132" fillId="0" borderId="0" xfId="0" applyNumberFormat="1" applyFont="1" applyAlignment="1">
      <alignment horizontal="center"/>
    </xf>
    <xf numFmtId="0" fontId="139" fillId="0" borderId="0" xfId="0" applyFont="1" applyAlignment="1">
      <alignment horizontal="center"/>
    </xf>
    <xf numFmtId="0" fontId="145" fillId="0" borderId="0" xfId="0" applyFont="1" applyAlignment="1">
      <alignment horizontal="left" wrapText="1"/>
    </xf>
    <xf numFmtId="0" fontId="137" fillId="0" borderId="0" xfId="0" applyFont="1" applyAlignment="1">
      <alignment wrapText="1"/>
    </xf>
    <xf numFmtId="0" fontId="137" fillId="0" borderId="0" xfId="0" applyFont="1" applyFill="1" applyAlignment="1">
      <alignment horizontal="left" wrapText="1"/>
    </xf>
    <xf numFmtId="0" fontId="139" fillId="0" borderId="0" xfId="0" applyFont="1" applyAlignment="1">
      <alignment horizontal="center" wrapText="1"/>
    </xf>
    <xf numFmtId="173" fontId="139" fillId="0" borderId="0" xfId="115" applyNumberFormat="1" applyFont="1" applyAlignment="1">
      <alignment horizontal="center" wrapText="1"/>
    </xf>
    <xf numFmtId="0" fontId="104" fillId="0" borderId="0" xfId="275" applyFont="1" applyAlignment="1" applyProtection="1">
      <alignment horizontal="center"/>
    </xf>
    <xf numFmtId="3" fontId="104" fillId="0" borderId="0" xfId="275" applyNumberFormat="1" applyFont="1" applyAlignment="1" applyProtection="1">
      <alignment horizontal="center"/>
    </xf>
    <xf numFmtId="44" fontId="104" fillId="0" borderId="0" xfId="123" applyFont="1" applyAlignment="1" applyProtection="1">
      <alignment horizontal="center"/>
    </xf>
    <xf numFmtId="0" fontId="75" fillId="0" borderId="30" xfId="275" applyFont="1" applyBorder="1" applyAlignment="1" applyProtection="1">
      <alignment horizontal="center"/>
    </xf>
    <xf numFmtId="0" fontId="2" fillId="0" borderId="0" xfId="275" applyFont="1" applyAlignment="1" applyProtection="1">
      <alignment horizontal="left" wrapText="1"/>
    </xf>
    <xf numFmtId="0" fontId="4" fillId="0" borderId="0" xfId="271" applyFont="1" applyAlignment="1" applyProtection="1">
      <alignment vertical="top" wrapText="1"/>
    </xf>
    <xf numFmtId="0" fontId="2" fillId="0" borderId="0" xfId="0" applyFont="1" applyAlignment="1" applyProtection="1">
      <alignment vertical="top" wrapText="1"/>
    </xf>
    <xf numFmtId="0" fontId="4" fillId="0" borderId="0" xfId="272" applyFont="1" applyAlignment="1">
      <alignment vertical="top" wrapText="1"/>
    </xf>
    <xf numFmtId="0" fontId="4" fillId="0" borderId="0" xfId="175" applyFont="1" applyAlignment="1">
      <alignment wrapText="1"/>
    </xf>
    <xf numFmtId="0" fontId="104" fillId="0" borderId="0" xfId="275" applyFont="1" applyAlignment="1">
      <alignment horizontal="center"/>
    </xf>
    <xf numFmtId="44" fontId="104" fillId="0" borderId="0" xfId="124" applyFont="1" applyAlignment="1">
      <alignment horizontal="center"/>
    </xf>
    <xf numFmtId="0" fontId="75" fillId="0" borderId="30" xfId="275" applyFont="1" applyBorder="1" applyAlignment="1">
      <alignment horizontal="center"/>
    </xf>
    <xf numFmtId="0" fontId="75" fillId="0" borderId="0" xfId="175" applyFont="1" applyAlignment="1">
      <alignment vertical="top" wrapText="1"/>
    </xf>
    <xf numFmtId="0" fontId="11" fillId="0" borderId="0" xfId="175" applyAlignment="1">
      <alignment vertical="top" wrapText="1"/>
    </xf>
    <xf numFmtId="0" fontId="4" fillId="0" borderId="0" xfId="175" applyFont="1" applyAlignment="1">
      <alignment vertical="top" wrapText="1"/>
    </xf>
    <xf numFmtId="0" fontId="133" fillId="0" borderId="0" xfId="275" applyFont="1" applyAlignment="1">
      <alignment horizontal="center"/>
    </xf>
    <xf numFmtId="0" fontId="2" fillId="0" borderId="0" xfId="275" applyAlignment="1">
      <alignment wrapText="1"/>
    </xf>
    <xf numFmtId="0" fontId="5" fillId="0" borderId="0" xfId="0" applyFont="1" applyFill="1" applyAlignment="1" applyProtection="1">
      <alignment horizontal="center"/>
    </xf>
    <xf numFmtId="0" fontId="75" fillId="0" borderId="0" xfId="0" applyFont="1" applyAlignment="1" applyProtection="1">
      <alignment horizontal="center"/>
    </xf>
    <xf numFmtId="0" fontId="117" fillId="0" borderId="0" xfId="0" applyFont="1" applyFill="1" applyAlignment="1" applyProtection="1">
      <alignment horizontal="center" wrapText="1"/>
    </xf>
  </cellXfs>
  <cellStyles count="35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 xfId="87"/>
    <cellStyle name="Comma 12 2" xfId="88"/>
    <cellStyle name="Comma 2" xfId="89"/>
    <cellStyle name="Comma 2 2" xfId="90"/>
    <cellStyle name="Comma 3" xfId="91"/>
    <cellStyle name="Comma 3 10" xfId="92"/>
    <cellStyle name="Comma 3 2" xfId="93"/>
    <cellStyle name="Comma 3 3" xfId="94"/>
    <cellStyle name="Comma 3 3 2" xfId="95"/>
    <cellStyle name="Comma 3 3 3" xfId="96"/>
    <cellStyle name="Comma 3 4" xfId="97"/>
    <cellStyle name="Comma 3 4 2" xfId="98"/>
    <cellStyle name="Comma 3 4 3" xfId="99"/>
    <cellStyle name="Comma 3 5" xfId="100"/>
    <cellStyle name="Comma 3 6" xfId="101"/>
    <cellStyle name="Comma 3 6 2" xfId="102"/>
    <cellStyle name="Comma 3 7" xfId="103"/>
    <cellStyle name="Comma 3 7 2" xfId="104"/>
    <cellStyle name="Comma 3 8" xfId="105"/>
    <cellStyle name="Comma 3 9" xfId="106"/>
    <cellStyle name="Comma 3 9 2" xfId="107"/>
    <cellStyle name="Comma 4" xfId="108"/>
    <cellStyle name="Comma 4 2" xfId="109"/>
    <cellStyle name="Comma 5" xfId="110"/>
    <cellStyle name="Comma 5 2" xfId="111"/>
    <cellStyle name="Comma 6" xfId="112"/>
    <cellStyle name="Comma 6 2" xfId="113"/>
    <cellStyle name="Comma 6 3" xfId="114"/>
    <cellStyle name="Comma 7" xfId="115"/>
    <cellStyle name="Comma 7 2" xfId="116"/>
    <cellStyle name="Comma 7 3" xfId="117"/>
    <cellStyle name="Comma 7 4" xfId="118"/>
    <cellStyle name="Comma 8" xfId="119"/>
    <cellStyle name="Comma 9" xfId="120"/>
    <cellStyle name="Comma_spp calc - revsd rev crd" xfId="121"/>
    <cellStyle name="Comma0" xfId="122"/>
    <cellStyle name="Currency" xfId="123" builtinId="4"/>
    <cellStyle name="Currency 2" xfId="124"/>
    <cellStyle name="Currency 2 2" xfId="125"/>
    <cellStyle name="Currency 3" xfId="126"/>
    <cellStyle name="Currency 3 2" xfId="127"/>
    <cellStyle name="Currency 3 3" xfId="128"/>
    <cellStyle name="Currency 3 3 2" xfId="129"/>
    <cellStyle name="Currency 3 3 3" xfId="130"/>
    <cellStyle name="Currency 3 4" xfId="131"/>
    <cellStyle name="Currency 3 4 2" xfId="132"/>
    <cellStyle name="Currency 3 4 3" xfId="133"/>
    <cellStyle name="Currency 3 5" xfId="134"/>
    <cellStyle name="Currency 3 6" xfId="135"/>
    <cellStyle name="Currency 3 6 2" xfId="136"/>
    <cellStyle name="Currency 3 7" xfId="137"/>
    <cellStyle name="Currency 3 8" xfId="138"/>
    <cellStyle name="Currency 3 9" xfId="139"/>
    <cellStyle name="Currency 4" xfId="140"/>
    <cellStyle name="Currency 4 2" xfId="141"/>
    <cellStyle name="Currency 5" xfId="142"/>
    <cellStyle name="Currency 5 2" xfId="143"/>
    <cellStyle name="Currency 6" xfId="144"/>
    <cellStyle name="Currency 7" xfId="145"/>
    <cellStyle name="Currency 8" xfId="146"/>
    <cellStyle name="Currency 9" xfId="147"/>
    <cellStyle name="Currency0" xfId="148"/>
    <cellStyle name="Date" xfId="149"/>
    <cellStyle name="Explanatory Text" xfId="150" builtinId="53" customBuiltin="1"/>
    <cellStyle name="Explanatory Text 2" xfId="151"/>
    <cellStyle name="Fixed" xfId="152"/>
    <cellStyle name="Good" xfId="153" builtinId="26" customBuiltin="1"/>
    <cellStyle name="Good 2" xfId="154"/>
    <cellStyle name="Heading 1" xfId="155" builtinId="16" customBuiltin="1"/>
    <cellStyle name="Heading 1 2" xfId="156"/>
    <cellStyle name="Heading 2" xfId="157" builtinId="17" customBuiltin="1"/>
    <cellStyle name="Heading 2 2" xfId="158"/>
    <cellStyle name="Heading 3" xfId="159" builtinId="18" customBuiltin="1"/>
    <cellStyle name="Heading 3 2" xfId="160"/>
    <cellStyle name="Heading 4" xfId="161" builtinId="19" customBuiltin="1"/>
    <cellStyle name="Heading 4 2" xfId="162"/>
    <cellStyle name="Heading1" xfId="163"/>
    <cellStyle name="Heading2" xfId="164"/>
    <cellStyle name="Input" xfId="165" builtinId="20" customBuiltin="1"/>
    <cellStyle name="Input 2" xfId="166"/>
    <cellStyle name="Linked Cell" xfId="167" builtinId="24" customBuiltin="1"/>
    <cellStyle name="Linked Cell 2" xfId="168"/>
    <cellStyle name="Neutral" xfId="169" builtinId="28" customBuiltin="1"/>
    <cellStyle name="Neutral 2" xfId="170"/>
    <cellStyle name="Normal" xfId="0" builtinId="0"/>
    <cellStyle name="Normal 10" xfId="171"/>
    <cellStyle name="Normal 10 2" xfId="172"/>
    <cellStyle name="Normal 10 3" xfId="173"/>
    <cellStyle name="Normal 11" xfId="174"/>
    <cellStyle name="Normal 11 2" xfId="175"/>
    <cellStyle name="Normal 11 3" xfId="176"/>
    <cellStyle name="Normal 12" xfId="177"/>
    <cellStyle name="Normal 12 2" xfId="178"/>
    <cellStyle name="Normal 12 4" xfId="179"/>
    <cellStyle name="Normal 13" xfId="180"/>
    <cellStyle name="Normal 13 2" xfId="181"/>
    <cellStyle name="Normal 14" xfId="182"/>
    <cellStyle name="Normal 14 2" xfId="183"/>
    <cellStyle name="Normal 15" xfId="184"/>
    <cellStyle name="Normal 16" xfId="185"/>
    <cellStyle name="Normal 16 2" xfId="186"/>
    <cellStyle name="Normal 17" xfId="187"/>
    <cellStyle name="Normal 17 2" xfId="188"/>
    <cellStyle name="Normal 18" xfId="189"/>
    <cellStyle name="Normal 18 2" xfId="190"/>
    <cellStyle name="Normal 19" xfId="191"/>
    <cellStyle name="Normal 19 2" xfId="192"/>
    <cellStyle name="Normal 2" xfId="193"/>
    <cellStyle name="Normal 2 2" xfId="194"/>
    <cellStyle name="Normal 2 2 2" xfId="195"/>
    <cellStyle name="Normal 2 2 3" xfId="196"/>
    <cellStyle name="Normal 2 2 4" xfId="197"/>
    <cellStyle name="Normal 2 3" xfId="198"/>
    <cellStyle name="Normal 2 4" xfId="199"/>
    <cellStyle name="Normal 2 5" xfId="200"/>
    <cellStyle name="Normal 2 5 2" xfId="201"/>
    <cellStyle name="Normal 20" xfId="202"/>
    <cellStyle name="Normal 20 2" xfId="203"/>
    <cellStyle name="Normal 21" xfId="204"/>
    <cellStyle name="Normal 21 2" xfId="205"/>
    <cellStyle name="Normal 22" xfId="206"/>
    <cellStyle name="Normal 22 2" xfId="207"/>
    <cellStyle name="Normal 23" xfId="208"/>
    <cellStyle name="Normal 23 2" xfId="209"/>
    <cellStyle name="Normal 24" xfId="210"/>
    <cellStyle name="Normal 24 2" xfId="211"/>
    <cellStyle name="Normal 25" xfId="212"/>
    <cellStyle name="Normal 25 2" xfId="213"/>
    <cellStyle name="Normal 26" xfId="214"/>
    <cellStyle name="Normal 26 2" xfId="215"/>
    <cellStyle name="Normal 27" xfId="216"/>
    <cellStyle name="Normal 28" xfId="217"/>
    <cellStyle name="Normal 28 2" xfId="218"/>
    <cellStyle name="Normal 29" xfId="219"/>
    <cellStyle name="Normal 29 2" xfId="220"/>
    <cellStyle name="Normal 3" xfId="221"/>
    <cellStyle name="Normal 3 2" xfId="222"/>
    <cellStyle name="Normal 3 3" xfId="223"/>
    <cellStyle name="Normal 3_Attach O, GG, Support -New Method 2-14-11" xfId="224"/>
    <cellStyle name="Normal 30" xfId="225"/>
    <cellStyle name="Normal 4" xfId="226"/>
    <cellStyle name="Normal 4 10" xfId="227"/>
    <cellStyle name="Normal 4 2" xfId="228"/>
    <cellStyle name="Normal 4 3" xfId="229"/>
    <cellStyle name="Normal 4 3 2" xfId="230"/>
    <cellStyle name="Normal 4 3 3" xfId="231"/>
    <cellStyle name="Normal 4 4" xfId="232"/>
    <cellStyle name="Normal 4 4 2" xfId="233"/>
    <cellStyle name="Normal 4 4 3" xfId="234"/>
    <cellStyle name="Normal 4 5" xfId="235"/>
    <cellStyle name="Normal 4 6" xfId="236"/>
    <cellStyle name="Normal 4 6 2" xfId="237"/>
    <cellStyle name="Normal 4 7" xfId="238"/>
    <cellStyle name="Normal 4 7 2" xfId="239"/>
    <cellStyle name="Normal 4 8" xfId="240"/>
    <cellStyle name="Normal 4 9" xfId="241"/>
    <cellStyle name="Normal 4_PBOP Exhibit 1" xfId="242"/>
    <cellStyle name="Normal 5" xfId="243"/>
    <cellStyle name="Normal 5 2" xfId="244"/>
    <cellStyle name="Normal 5 2 2" xfId="245"/>
    <cellStyle name="Normal 5 3" xfId="246"/>
    <cellStyle name="Normal 5 4" xfId="247"/>
    <cellStyle name="Normal 6" xfId="248"/>
    <cellStyle name="Normal 6 2" xfId="249"/>
    <cellStyle name="Normal 6 2 2" xfId="250"/>
    <cellStyle name="Normal 6 2 3" xfId="251"/>
    <cellStyle name="Normal 6 3" xfId="252"/>
    <cellStyle name="Normal 6 3 2" xfId="253"/>
    <cellStyle name="Normal 6 4" xfId="254"/>
    <cellStyle name="Normal 6 4 2" xfId="255"/>
    <cellStyle name="Normal 7" xfId="256"/>
    <cellStyle name="Normal 7 2" xfId="257"/>
    <cellStyle name="Normal 8" xfId="258"/>
    <cellStyle name="Normal 8 2" xfId="259"/>
    <cellStyle name="Normal 9" xfId="260"/>
    <cellStyle name="Normal 9 2" xfId="261"/>
    <cellStyle name="Normal_21 Exh B" xfId="262"/>
    <cellStyle name="Normal_ADITAnalysisID090805" xfId="263"/>
    <cellStyle name="Normal_ADITAnalysisID090805 2" xfId="264"/>
    <cellStyle name="Normal_ADITAnalysisID090805 2 2" xfId="265"/>
    <cellStyle name="Normal_ADITAnalysisID090805 2 2 2" xfId="266"/>
    <cellStyle name="Normal_ADITAnalysisID090805 3" xfId="267"/>
    <cellStyle name="Normal_ADITAnalysisID090805 4" xfId="268"/>
    <cellStyle name="Normal_ATC Projected 2008 Monthly Plant Balances for Attachment O 2 (2)" xfId="269"/>
    <cellStyle name="Normal_AU Period 2 Rev 4-27-00" xfId="270"/>
    <cellStyle name="Normal_DeprRateAuth East Dave Davis" xfId="271"/>
    <cellStyle name="Normal_DeprRateAuth East Dave Davis 2" xfId="272"/>
    <cellStyle name="Normal_FN1 Ratebase Draft SPP template (6-11-04) v2" xfId="273"/>
    <cellStyle name="Normal_I&amp;M-AK-1" xfId="274"/>
    <cellStyle name="Normal_Revised 1-21-10  Deprec Summary" xfId="275"/>
    <cellStyle name="Normal_Schedule O Info for Mike" xfId="276"/>
    <cellStyle name="Normal_spp calc - revsd rev crd" xfId="277"/>
    <cellStyle name="Note" xfId="278" builtinId="10" customBuiltin="1"/>
    <cellStyle name="Note 2" xfId="279"/>
    <cellStyle name="Output" xfId="280" builtinId="21" customBuiltin="1"/>
    <cellStyle name="Output 2" xfId="281"/>
    <cellStyle name="Percent" xfId="282" builtinId="5"/>
    <cellStyle name="Percent 10" xfId="283"/>
    <cellStyle name="Percent 2" xfId="284"/>
    <cellStyle name="Percent 2 2" xfId="285"/>
    <cellStyle name="Percent 3" xfId="286"/>
    <cellStyle name="Percent 3 2" xfId="287"/>
    <cellStyle name="Percent 3 3" xfId="288"/>
    <cellStyle name="Percent 3 3 2" xfId="289"/>
    <cellStyle name="Percent 3 3 3" xfId="290"/>
    <cellStyle name="Percent 3 4" xfId="291"/>
    <cellStyle name="Percent 3 4 2" xfId="292"/>
    <cellStyle name="Percent 3 4 3" xfId="293"/>
    <cellStyle name="Percent 3 5" xfId="294"/>
    <cellStyle name="Percent 3 6" xfId="295"/>
    <cellStyle name="Percent 3 6 2" xfId="296"/>
    <cellStyle name="Percent 3 7" xfId="297"/>
    <cellStyle name="Percent 3 8" xfId="298"/>
    <cellStyle name="Percent 3 9" xfId="299"/>
    <cellStyle name="Percent 4" xfId="300"/>
    <cellStyle name="Percent 4 2" xfId="301"/>
    <cellStyle name="Percent 4 3" xfId="302"/>
    <cellStyle name="Percent 5" xfId="303"/>
    <cellStyle name="Percent 5 2" xfId="304"/>
    <cellStyle name="Percent 6" xfId="305"/>
    <cellStyle name="Percent 7" xfId="306"/>
    <cellStyle name="Percent 7 2" xfId="307"/>
    <cellStyle name="Percent 7 3" xfId="308"/>
    <cellStyle name="Percent 7 4" xfId="309"/>
    <cellStyle name="Percent 8" xfId="310"/>
    <cellStyle name="Percent 9" xfId="311"/>
    <cellStyle name="PSChar" xfId="312"/>
    <cellStyle name="PSDate" xfId="313"/>
    <cellStyle name="PSDec" xfId="314"/>
    <cellStyle name="PSdesc" xfId="315"/>
    <cellStyle name="PSHeading" xfId="316"/>
    <cellStyle name="PSInt" xfId="317"/>
    <cellStyle name="PSSpacer" xfId="318"/>
    <cellStyle name="PStest" xfId="319"/>
    <cellStyle name="R00A" xfId="320"/>
    <cellStyle name="R00B" xfId="321"/>
    <cellStyle name="R00L" xfId="322"/>
    <cellStyle name="R01A" xfId="323"/>
    <cellStyle name="R01B" xfId="324"/>
    <cellStyle name="R01H" xfId="325"/>
    <cellStyle name="R01L" xfId="326"/>
    <cellStyle name="R02A" xfId="327"/>
    <cellStyle name="R02B" xfId="328"/>
    <cellStyle name="R02H" xfId="329"/>
    <cellStyle name="R02L" xfId="330"/>
    <cellStyle name="R03A" xfId="331"/>
    <cellStyle name="R03B" xfId="332"/>
    <cellStyle name="R03H" xfId="333"/>
    <cellStyle name="R03L" xfId="334"/>
    <cellStyle name="R04A" xfId="335"/>
    <cellStyle name="R04B" xfId="336"/>
    <cellStyle name="R04H" xfId="337"/>
    <cellStyle name="R04L" xfId="338"/>
    <cellStyle name="R05A" xfId="339"/>
    <cellStyle name="R05B" xfId="340"/>
    <cellStyle name="R05H" xfId="341"/>
    <cellStyle name="R05L" xfId="342"/>
    <cellStyle name="R06A" xfId="343"/>
    <cellStyle name="R06B" xfId="344"/>
    <cellStyle name="R06H" xfId="345"/>
    <cellStyle name="R06L" xfId="346"/>
    <cellStyle name="R07A" xfId="347"/>
    <cellStyle name="R07B" xfId="348"/>
    <cellStyle name="R07H" xfId="349"/>
    <cellStyle name="R07L" xfId="350"/>
    <cellStyle name="Title" xfId="351" builtinId="15" customBuiltin="1"/>
    <cellStyle name="Title 2" xfId="352"/>
    <cellStyle name="Total" xfId="353" builtinId="25" customBuiltin="1"/>
    <cellStyle name="Total 2" xfId="354"/>
    <cellStyle name="Warning Text" xfId="355" builtinId="11" customBuiltin="1"/>
    <cellStyle name="Warning Text 2" xfId="356"/>
  </cellStyles>
  <dxfs count="40">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73"/>
  <sheetViews>
    <sheetView tabSelected="1" view="pageBreakPreview" zoomScale="75" zoomScaleNormal="85" zoomScaleSheetLayoutView="75" zoomScalePageLayoutView="50" workbookViewId="0">
      <selection activeCell="D2" sqref="D2"/>
    </sheetView>
  </sheetViews>
  <sheetFormatPr defaultColWidth="11.42578125" defaultRowHeight="15"/>
  <cols>
    <col min="1" max="1" width="4.5703125" style="317" customWidth="1"/>
    <col min="2" max="2" width="7.85546875" style="316" customWidth="1"/>
    <col min="3" max="3" width="1.85546875" style="317" customWidth="1"/>
    <col min="4" max="4" width="70.140625" style="317" customWidth="1"/>
    <col min="5" max="5" width="25.5703125" style="317" customWidth="1"/>
    <col min="6" max="6" width="22.42578125" style="317" customWidth="1"/>
    <col min="7" max="7" width="24.140625" style="317" customWidth="1"/>
    <col min="8" max="8" width="16.140625" style="317" customWidth="1"/>
    <col min="9" max="9" width="11.42578125" style="317" customWidth="1"/>
    <col min="10" max="10" width="21.5703125" style="317" bestFit="1" customWidth="1"/>
    <col min="11" max="11" width="4.5703125" style="317" customWidth="1"/>
    <col min="12" max="12" width="23" style="317" customWidth="1"/>
    <col min="13" max="13" width="5" style="317" customWidth="1"/>
    <col min="14" max="14" width="8.140625" style="317" customWidth="1"/>
    <col min="15" max="15" width="21.85546875" style="317" customWidth="1"/>
    <col min="16" max="16" width="11.42578125" style="317" customWidth="1"/>
    <col min="17" max="17" width="20.5703125" style="317" bestFit="1" customWidth="1"/>
    <col min="18" max="16384" width="11.42578125" style="317"/>
  </cols>
  <sheetData>
    <row r="1" spans="1:14" ht="15.75">
      <c r="A1" s="899" t="s">
        <v>115</v>
      </c>
    </row>
    <row r="2" spans="1:14" ht="15.75">
      <c r="A2" s="899" t="s">
        <v>115</v>
      </c>
    </row>
    <row r="3" spans="1:14" ht="15.75">
      <c r="D3" s="318"/>
      <c r="E3" s="319"/>
      <c r="F3" s="319"/>
      <c r="G3" s="320"/>
      <c r="I3" s="321"/>
      <c r="J3" s="321"/>
      <c r="K3" s="321"/>
      <c r="L3" s="322"/>
    </row>
    <row r="4" spans="1:14">
      <c r="J4" s="317" t="s">
        <v>839</v>
      </c>
      <c r="L4" s="841">
        <v>2018</v>
      </c>
    </row>
    <row r="5" spans="1:14">
      <c r="D5" s="323"/>
      <c r="E5" s="323"/>
      <c r="F5" s="324" t="s">
        <v>386</v>
      </c>
      <c r="G5" s="325"/>
      <c r="H5" s="325"/>
      <c r="J5" s="323"/>
      <c r="K5" s="326"/>
      <c r="L5" s="326"/>
      <c r="M5" s="327"/>
      <c r="N5" s="328"/>
    </row>
    <row r="6" spans="1:14">
      <c r="D6" s="323"/>
      <c r="E6" s="329"/>
      <c r="F6" s="324" t="s">
        <v>387</v>
      </c>
      <c r="G6" s="325"/>
      <c r="H6" s="325"/>
      <c r="J6" s="329"/>
      <c r="K6" s="326"/>
      <c r="L6" s="326"/>
      <c r="M6" s="327"/>
    </row>
    <row r="7" spans="1:14">
      <c r="D7" s="326"/>
      <c r="E7" s="326"/>
      <c r="F7" s="330" t="str">
        <f>"Utilizing  Actual/Projected FERC Form 1 Data"</f>
        <v>Utilizing  Actual/Projected FERC Form 1 Data</v>
      </c>
      <c r="G7" s="325"/>
      <c r="H7" s="325"/>
      <c r="J7" s="326"/>
      <c r="K7" s="326"/>
      <c r="L7" s="326"/>
      <c r="M7" s="327"/>
    </row>
    <row r="8" spans="1:14">
      <c r="B8" s="331"/>
      <c r="C8" s="332"/>
      <c r="D8" s="326"/>
      <c r="H8" s="333"/>
      <c r="I8" s="333"/>
      <c r="J8" s="333"/>
      <c r="K8" s="333"/>
      <c r="L8" s="326"/>
      <c r="M8" s="326"/>
    </row>
    <row r="9" spans="1:14" ht="15.75">
      <c r="B9" s="331"/>
      <c r="C9" s="332"/>
      <c r="D9" s="334"/>
      <c r="E9" s="326"/>
      <c r="F9" s="335" t="s">
        <v>883</v>
      </c>
      <c r="G9" s="336"/>
      <c r="H9" s="326"/>
      <c r="I9" s="326"/>
      <c r="J9" s="326"/>
      <c r="K9" s="326"/>
      <c r="L9" s="334"/>
      <c r="M9" s="326"/>
    </row>
    <row r="10" spans="1:14">
      <c r="B10" s="331"/>
      <c r="C10" s="332"/>
      <c r="D10" s="326"/>
      <c r="E10" s="326"/>
      <c r="F10" s="337"/>
      <c r="G10" s="336"/>
      <c r="H10" s="326"/>
      <c r="I10" s="326"/>
      <c r="J10" s="326"/>
      <c r="K10" s="326"/>
      <c r="L10" s="334"/>
      <c r="M10" s="326"/>
    </row>
    <row r="11" spans="1:14">
      <c r="B11" s="331" t="s">
        <v>170</v>
      </c>
      <c r="C11" s="332"/>
      <c r="D11" s="326"/>
      <c r="E11" s="326"/>
      <c r="F11" s="326"/>
      <c r="G11" s="336"/>
      <c r="H11" s="326"/>
      <c r="I11" s="326"/>
      <c r="J11" s="326"/>
      <c r="K11" s="326"/>
      <c r="L11" s="332" t="s">
        <v>116</v>
      </c>
      <c r="M11" s="326"/>
    </row>
    <row r="12" spans="1:14" ht="15.75" thickBot="1">
      <c r="B12" s="338" t="s">
        <v>118</v>
      </c>
      <c r="C12" s="339"/>
      <c r="D12" s="326"/>
      <c r="E12" s="339"/>
      <c r="F12" s="326"/>
      <c r="G12" s="326"/>
      <c r="H12" s="326"/>
      <c r="I12" s="326"/>
      <c r="J12" s="326"/>
      <c r="K12" s="326"/>
      <c r="L12" s="340" t="s">
        <v>171</v>
      </c>
      <c r="M12" s="326"/>
    </row>
    <row r="13" spans="1:14">
      <c r="B13" s="331">
        <f>1</f>
        <v>1</v>
      </c>
      <c r="C13" s="332"/>
      <c r="D13" s="341" t="s">
        <v>112</v>
      </c>
      <c r="E13" s="342" t="str">
        <f>"(ln "&amp;B213&amp;")"</f>
        <v>(ln 130)</v>
      </c>
      <c r="F13" s="342"/>
      <c r="G13" s="343"/>
      <c r="H13" s="344"/>
      <c r="I13" s="326"/>
      <c r="J13" s="326"/>
      <c r="K13" s="326"/>
      <c r="L13" s="345">
        <f>+L213</f>
        <v>302222946.08830595</v>
      </c>
      <c r="M13" s="326"/>
    </row>
    <row r="14" spans="1:14" ht="15.75" thickBot="1">
      <c r="B14" s="331"/>
      <c r="C14" s="332"/>
      <c r="E14" s="346"/>
      <c r="F14" s="347"/>
      <c r="G14" s="340" t="s">
        <v>119</v>
      </c>
      <c r="H14" s="329"/>
      <c r="I14" s="348" t="s">
        <v>120</v>
      </c>
      <c r="J14" s="348"/>
      <c r="K14" s="326"/>
      <c r="L14" s="343"/>
      <c r="M14" s="326"/>
    </row>
    <row r="15" spans="1:14">
      <c r="B15" s="331">
        <f>+B13+1</f>
        <v>2</v>
      </c>
      <c r="C15" s="332"/>
      <c r="D15" s="349" t="s">
        <v>169</v>
      </c>
      <c r="E15" s="346" t="s">
        <v>629</v>
      </c>
      <c r="F15" s="347"/>
      <c r="G15" s="350">
        <f>+'WS E Rev Credits'!K31</f>
        <v>5990685.46</v>
      </c>
      <c r="H15" s="347"/>
      <c r="I15" s="351" t="s">
        <v>130</v>
      </c>
      <c r="J15" s="352">
        <v>1</v>
      </c>
      <c r="K15" s="329"/>
      <c r="L15" s="353">
        <f>+J15*G15</f>
        <v>5990685.46</v>
      </c>
      <c r="M15" s="326"/>
    </row>
    <row r="16" spans="1:14">
      <c r="B16" s="331"/>
      <c r="C16" s="332"/>
      <c r="D16" s="349"/>
      <c r="F16" s="329"/>
      <c r="L16" s="354"/>
      <c r="M16" s="326"/>
    </row>
    <row r="17" spans="2:13">
      <c r="B17" s="331"/>
      <c r="C17" s="332"/>
      <c r="D17" s="349"/>
      <c r="F17" s="329"/>
      <c r="L17" s="355"/>
      <c r="M17" s="326"/>
    </row>
    <row r="18" spans="2:13">
      <c r="B18" s="331">
        <f>+B15+1</f>
        <v>3</v>
      </c>
      <c r="C18" s="332"/>
      <c r="D18" s="349" t="s">
        <v>535</v>
      </c>
      <c r="E18" s="317" t="s">
        <v>630</v>
      </c>
      <c r="F18" s="329"/>
      <c r="L18" s="353">
        <f>'WS E Rev Credits'!K39</f>
        <v>0</v>
      </c>
      <c r="M18" s="326"/>
    </row>
    <row r="19" spans="2:13">
      <c r="B19" s="331"/>
      <c r="C19" s="332"/>
      <c r="D19" s="349"/>
      <c r="F19" s="329"/>
      <c r="L19" s="355"/>
      <c r="M19" s="326"/>
    </row>
    <row r="20" spans="2:13" ht="15.75" thickBot="1">
      <c r="B20" s="356">
        <f>+B18+1</f>
        <v>4</v>
      </c>
      <c r="C20" s="357"/>
      <c r="D20" s="358" t="s">
        <v>465</v>
      </c>
      <c r="E20" s="359" t="str">
        <f>"(ln "&amp;B13&amp;" less  ln " &amp;B15&amp;" plus ln "&amp;B18&amp;")"</f>
        <v>(ln 1 less  ln 2 plus ln 3)</v>
      </c>
      <c r="F20" s="326"/>
      <c r="H20" s="329"/>
      <c r="I20" s="360"/>
      <c r="J20" s="329"/>
      <c r="K20" s="329"/>
      <c r="L20" s="361">
        <f>+L13-L15+L18</f>
        <v>296232260.62830597</v>
      </c>
      <c r="M20" s="326"/>
    </row>
    <row r="21" spans="2:13" ht="15.75" thickTop="1">
      <c r="B21" s="356"/>
      <c r="C21" s="357"/>
      <c r="D21" s="358"/>
      <c r="E21" s="359"/>
      <c r="F21" s="326"/>
      <c r="H21" s="329"/>
      <c r="I21" s="360"/>
      <c r="J21" s="329"/>
      <c r="K21" s="329"/>
      <c r="L21" s="353"/>
      <c r="M21" s="326"/>
    </row>
    <row r="22" spans="2:13">
      <c r="B22" s="356"/>
      <c r="C22" s="357"/>
      <c r="D22" s="358"/>
      <c r="E22" s="359"/>
      <c r="F22" s="326"/>
      <c r="H22" s="329"/>
      <c r="I22" s="360"/>
      <c r="J22" s="329"/>
      <c r="K22" s="329"/>
      <c r="L22" s="353"/>
      <c r="M22" s="326"/>
    </row>
    <row r="23" spans="2:13">
      <c r="B23" s="356"/>
      <c r="C23" s="357"/>
      <c r="D23" s="349"/>
      <c r="E23" s="359"/>
      <c r="F23" s="326"/>
      <c r="H23" s="329"/>
      <c r="I23" s="360"/>
      <c r="J23" s="329"/>
      <c r="K23" s="329"/>
      <c r="L23" s="362"/>
      <c r="M23" s="326"/>
    </row>
    <row r="24" spans="2:13" ht="15" customHeight="1">
      <c r="B24" s="1392"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92"/>
      <c r="D24" s="1392"/>
      <c r="E24" s="1392"/>
      <c r="F24" s="1392"/>
      <c r="G24" s="1392"/>
      <c r="H24" s="1392"/>
      <c r="I24" s="1392"/>
    </row>
    <row r="25" spans="2:13" ht="35.25" customHeight="1">
      <c r="B25" s="1392"/>
      <c r="C25" s="1392"/>
      <c r="D25" s="1392"/>
      <c r="E25" s="1392"/>
      <c r="F25" s="1392"/>
      <c r="G25" s="1392"/>
      <c r="H25" s="1392"/>
      <c r="I25" s="1392"/>
    </row>
    <row r="26" spans="2:13" ht="15" customHeight="1">
      <c r="B26" s="363"/>
      <c r="C26" s="363"/>
      <c r="D26" s="363"/>
      <c r="E26" s="363"/>
      <c r="F26" s="363"/>
      <c r="G26" s="363"/>
      <c r="H26" s="363"/>
      <c r="I26" s="363"/>
    </row>
    <row r="27" spans="2:13">
      <c r="B27" s="331">
        <f>+B20+1</f>
        <v>5</v>
      </c>
      <c r="C27" s="357"/>
      <c r="D27" s="364" t="s">
        <v>536</v>
      </c>
      <c r="E27" s="346"/>
      <c r="F27" s="347"/>
      <c r="G27" s="365">
        <f>'WS K TRUE-UP RTEP RR'!N22</f>
        <v>21491172.967819393</v>
      </c>
      <c r="H27" s="347"/>
      <c r="I27" s="351" t="s">
        <v>130</v>
      </c>
      <c r="J27" s="352">
        <v>1</v>
      </c>
      <c r="K27" s="342"/>
      <c r="L27" s="366">
        <f>+J27*G27</f>
        <v>21491172.967819393</v>
      </c>
      <c r="M27" s="326"/>
    </row>
    <row r="28" spans="2:13">
      <c r="B28" s="331"/>
      <c r="C28" s="357"/>
      <c r="D28" s="364"/>
      <c r="E28" s="359"/>
      <c r="F28" s="347"/>
      <c r="G28" s="365"/>
      <c r="H28" s="347"/>
      <c r="I28" s="347"/>
      <c r="J28" s="352"/>
      <c r="K28" s="342"/>
      <c r="L28" s="366"/>
      <c r="M28" s="326"/>
    </row>
    <row r="29" spans="2:13">
      <c r="B29" s="356">
        <f>+B27+1</f>
        <v>6</v>
      </c>
      <c r="C29" s="357"/>
      <c r="D29" s="364" t="s">
        <v>374</v>
      </c>
      <c r="E29" s="346"/>
      <c r="F29" s="326"/>
      <c r="G29" s="367"/>
      <c r="H29" s="326"/>
      <c r="J29" s="326"/>
      <c r="K29" s="326"/>
      <c r="M29" s="326"/>
    </row>
    <row r="30" spans="2:13">
      <c r="B30" s="331">
        <f>B29+1</f>
        <v>7</v>
      </c>
      <c r="C30" s="357"/>
      <c r="D30" s="368" t="s">
        <v>251</v>
      </c>
      <c r="E30" s="342" t="str">
        <f>"( (ln "&amp;B13&amp;" - ln "&amp;B168&amp;")/((ln "&amp;$B$91&amp;") x 100) )"</f>
        <v>( (ln 1 - ln 95)/((ln 42) x 100) )</v>
      </c>
      <c r="F30" s="332"/>
      <c r="G30" s="332"/>
      <c r="H30" s="332"/>
      <c r="I30" s="369"/>
      <c r="J30" s="369"/>
      <c r="K30" s="369"/>
      <c r="L30" s="370">
        <f>(L13-L168)/L$91</f>
        <v>0.1299214229840443</v>
      </c>
      <c r="M30" s="326"/>
    </row>
    <row r="31" spans="2:13">
      <c r="B31" s="331">
        <f>B30+1</f>
        <v>8</v>
      </c>
      <c r="C31" s="357"/>
      <c r="D31" s="368" t="s">
        <v>252</v>
      </c>
      <c r="E31" s="342" t="str">
        <f>"(ln "&amp;B30&amp;" / 12)"</f>
        <v>(ln 7 / 12)</v>
      </c>
      <c r="F31" s="332"/>
      <c r="G31" s="332"/>
      <c r="H31" s="332"/>
      <c r="I31" s="369"/>
      <c r="J31" s="369"/>
      <c r="K31" s="369"/>
      <c r="L31" s="371">
        <f>L30/12</f>
        <v>1.0826785248670359E-2</v>
      </c>
      <c r="M31" s="326"/>
    </row>
    <row r="32" spans="2:13">
      <c r="B32" s="331"/>
      <c r="C32" s="357"/>
      <c r="D32" s="368"/>
      <c r="E32" s="342"/>
      <c r="F32" s="332"/>
      <c r="G32" s="332"/>
      <c r="H32" s="332"/>
      <c r="I32" s="369"/>
      <c r="J32" s="369"/>
      <c r="K32" s="369"/>
      <c r="L32" s="371"/>
      <c r="M32" s="326"/>
    </row>
    <row r="33" spans="2:13">
      <c r="B33" s="331">
        <f>B31+1</f>
        <v>9</v>
      </c>
      <c r="C33" s="357"/>
      <c r="D33" s="364" t="str">
        <f>"NET PLANT CARRYING CHARGE ON LINE "&amp;B30&amp;" , w/o depreciation or ROE incentives (Note B)"</f>
        <v>NET PLANT CARRYING CHARGE ON LINE 7 , w/o depreciation or ROE incentives (Note B)</v>
      </c>
      <c r="E33" s="342"/>
      <c r="F33" s="332"/>
      <c r="G33" s="332"/>
      <c r="H33" s="332"/>
      <c r="I33" s="369"/>
      <c r="J33" s="369"/>
      <c r="K33" s="369"/>
      <c r="L33" s="371"/>
      <c r="M33" s="326"/>
    </row>
    <row r="34" spans="2:13">
      <c r="B34" s="331">
        <f>B33+1</f>
        <v>10</v>
      </c>
      <c r="C34" s="357"/>
      <c r="D34" s="368" t="s">
        <v>251</v>
      </c>
      <c r="E34" s="342" t="str">
        <f>"( (ln "&amp;B13&amp;" - ln "&amp;B168&amp;" - ln "&amp;B174&amp;" ) /((ln "&amp;$B$91&amp;") x 100) )"</f>
        <v>( (ln 1 - ln 95 - ln 100 ) /((ln 42) x 100) )</v>
      </c>
      <c r="F34" s="332"/>
      <c r="G34" s="332"/>
      <c r="H34" s="332"/>
      <c r="I34" s="369"/>
      <c r="J34" s="369"/>
      <c r="K34" s="369"/>
      <c r="L34" s="370">
        <f>(L13-L168-L174)/L91</f>
        <v>0.10790637951024619</v>
      </c>
      <c r="M34" s="326"/>
    </row>
    <row r="35" spans="2:13">
      <c r="B35" s="331"/>
      <c r="C35" s="357"/>
      <c r="D35" s="368"/>
      <c r="E35" s="342"/>
      <c r="F35" s="332"/>
      <c r="G35" s="332"/>
      <c r="H35" s="332"/>
      <c r="I35" s="369"/>
      <c r="J35" s="369"/>
      <c r="K35" s="369"/>
      <c r="L35" s="371"/>
      <c r="M35" s="326"/>
    </row>
    <row r="36" spans="2:13">
      <c r="B36" s="331">
        <f>B34+1</f>
        <v>11</v>
      </c>
      <c r="C36" s="357"/>
      <c r="D36" s="364" t="str">
        <f>"NET PLANT CARRYING CHARGE ON LINE "&amp;B34&amp;", w/o Return, income taxes or ROE incentives (Note B)"</f>
        <v>NET PLANT CARRYING CHARGE ON LINE 10, w/o Return, income taxes or ROE incentives (Note B)</v>
      </c>
      <c r="E36" s="342"/>
      <c r="F36" s="372"/>
      <c r="G36" s="372"/>
      <c r="H36" s="372"/>
      <c r="I36" s="372"/>
      <c r="J36" s="372"/>
      <c r="K36" s="372"/>
      <c r="L36" s="372"/>
      <c r="M36" s="334"/>
    </row>
    <row r="37" spans="2:13">
      <c r="B37" s="331">
        <f>B36+1</f>
        <v>12</v>
      </c>
      <c r="C37" s="357"/>
      <c r="D37" s="323" t="s">
        <v>251</v>
      </c>
      <c r="E37" s="342" t="str">
        <f>"( (ln "&amp;B13&amp;" - ln "&amp;B168&amp;" - ln "&amp;B174&amp;" - ln "&amp;B203&amp;" - ln "&amp;B205&amp;") /((ln "&amp;$B$91&amp;") x 100) )"</f>
        <v>( (ln 1 - ln 95 - ln 100 - ln 125 - ln 126) /((ln 42) x 100) )</v>
      </c>
      <c r="F37" s="372"/>
      <c r="G37" s="372"/>
      <c r="H37" s="372"/>
      <c r="I37" s="372"/>
      <c r="J37" s="372"/>
      <c r="K37" s="372"/>
      <c r="L37" s="373">
        <f>(L13-L168-L174-L203-L205)/L91</f>
        <v>3.5909165127603018E-2</v>
      </c>
      <c r="M37" s="334"/>
    </row>
    <row r="38" spans="2:13">
      <c r="B38" s="331"/>
      <c r="C38" s="357"/>
      <c r="D38" s="323"/>
      <c r="E38" s="342"/>
      <c r="F38" s="332"/>
      <c r="G38" s="332"/>
      <c r="H38" s="332"/>
      <c r="I38" s="369"/>
      <c r="J38" s="369"/>
      <c r="K38" s="369"/>
      <c r="L38" s="370"/>
      <c r="M38" s="374"/>
    </row>
    <row r="39" spans="2:13">
      <c r="B39" s="331">
        <f>B37+1</f>
        <v>13</v>
      </c>
      <c r="C39" s="332"/>
      <c r="D39" s="375" t="s">
        <v>592</v>
      </c>
      <c r="E39" s="342"/>
      <c r="F39" s="332"/>
      <c r="G39" s="332"/>
      <c r="H39" s="332"/>
      <c r="I39" s="369"/>
      <c r="J39" s="369"/>
      <c r="K39" s="369"/>
      <c r="L39" s="376"/>
      <c r="M39" s="326"/>
    </row>
    <row r="40" spans="2:13">
      <c r="B40" s="331"/>
      <c r="C40" s="332"/>
      <c r="E40" s="342"/>
      <c r="F40" s="332"/>
      <c r="G40" s="332"/>
      <c r="H40" s="332"/>
      <c r="I40" s="369"/>
      <c r="J40" s="369"/>
      <c r="K40" s="369"/>
      <c r="L40" s="370"/>
      <c r="M40" s="326"/>
    </row>
    <row r="41" spans="2:13">
      <c r="B41" s="317"/>
      <c r="C41" s="332"/>
      <c r="E41" s="342"/>
      <c r="F41" s="332"/>
      <c r="G41" s="332"/>
      <c r="H41" s="332"/>
      <c r="I41" s="369"/>
      <c r="J41" s="369"/>
      <c r="K41" s="369"/>
      <c r="L41" s="370"/>
      <c r="M41" s="326"/>
    </row>
    <row r="42" spans="2:13" ht="15.75">
      <c r="B42" s="331">
        <f>+B39+1</f>
        <v>14</v>
      </c>
      <c r="C42" s="332"/>
      <c r="D42" s="1398" t="s">
        <v>433</v>
      </c>
      <c r="E42" s="1398"/>
      <c r="F42" s="1398"/>
      <c r="G42" s="1398"/>
      <c r="H42" s="1398"/>
      <c r="I42" s="1398"/>
      <c r="J42" s="1398"/>
      <c r="K42" s="1398"/>
      <c r="L42" s="1398"/>
      <c r="M42" s="326"/>
    </row>
    <row r="43" spans="2:13">
      <c r="B43" s="331"/>
      <c r="C43" s="332"/>
      <c r="E43" s="342"/>
      <c r="F43" s="332"/>
      <c r="G43" s="332"/>
      <c r="H43" s="332"/>
      <c r="I43" s="369"/>
      <c r="J43" s="369"/>
      <c r="K43" s="369"/>
      <c r="L43" s="370"/>
      <c r="M43" s="326"/>
    </row>
    <row r="44" spans="2:13">
      <c r="B44" s="331">
        <f>+B42+1</f>
        <v>15</v>
      </c>
      <c r="C44" s="332"/>
      <c r="D44" s="341" t="s">
        <v>435</v>
      </c>
      <c r="E44" s="342" t="str">
        <f>"Line "&amp;B146&amp;" Below"</f>
        <v>Line 75 Below</v>
      </c>
      <c r="F44" s="332"/>
      <c r="H44" s="332"/>
      <c r="I44" s="369"/>
      <c r="J44" s="369"/>
      <c r="K44" s="369"/>
      <c r="L44" s="377">
        <f>+G146</f>
        <v>11986419.970000001</v>
      </c>
      <c r="M44" s="342"/>
    </row>
    <row r="45" spans="2:13">
      <c r="B45" s="331">
        <f>+B44+1</f>
        <v>16</v>
      </c>
      <c r="C45" s="332"/>
      <c r="D45" s="341" t="s">
        <v>473</v>
      </c>
      <c r="E45" s="326"/>
      <c r="F45" s="332"/>
      <c r="H45" s="332"/>
      <c r="I45" s="369"/>
      <c r="J45" s="369"/>
      <c r="K45" s="369"/>
      <c r="L45" s="842">
        <v>7509381</v>
      </c>
      <c r="M45" s="342"/>
    </row>
    <row r="46" spans="2:13">
      <c r="B46" s="331">
        <f>+B45+1</f>
        <v>17</v>
      </c>
      <c r="C46" s="332"/>
      <c r="D46" s="341" t="s">
        <v>474</v>
      </c>
      <c r="E46" s="326"/>
      <c r="F46" s="332"/>
      <c r="H46" s="332"/>
      <c r="I46" s="369"/>
      <c r="J46" s="369"/>
      <c r="K46" s="369"/>
      <c r="L46" s="842">
        <v>1855896</v>
      </c>
      <c r="M46" s="342"/>
    </row>
    <row r="47" spans="2:13">
      <c r="B47" s="331"/>
      <c r="C47" s="332"/>
      <c r="E47" s="326"/>
      <c r="F47" s="332"/>
      <c r="H47" s="332"/>
      <c r="I47" s="369"/>
      <c r="J47" s="369"/>
      <c r="K47" s="369"/>
      <c r="L47" s="332"/>
      <c r="M47" s="342"/>
    </row>
    <row r="48" spans="2:13" ht="15.75" thickBot="1">
      <c r="B48" s="331">
        <f>+B46+1</f>
        <v>18</v>
      </c>
      <c r="C48" s="332"/>
      <c r="D48" s="341" t="s">
        <v>434</v>
      </c>
      <c r="E48" s="344" t="str">
        <f>"(Line "&amp;B44&amp;" - Line "&amp;B45&amp;" - Line "&amp;B46&amp;")"</f>
        <v>(Line 15 - Line 16 - Line 17)</v>
      </c>
      <c r="F48" s="332"/>
      <c r="H48" s="332"/>
      <c r="I48" s="369"/>
      <c r="J48" s="369"/>
      <c r="K48" s="369"/>
      <c r="L48" s="378">
        <f>+L44-L45-L46</f>
        <v>2621142.9700000007</v>
      </c>
      <c r="M48" s="342"/>
    </row>
    <row r="49" spans="2:15" ht="15.75" thickTop="1">
      <c r="B49" s="331"/>
      <c r="C49" s="332"/>
      <c r="E49" s="342"/>
      <c r="F49" s="332"/>
      <c r="G49" s="332"/>
      <c r="H49" s="332"/>
      <c r="I49" s="369"/>
      <c r="J49" s="369"/>
      <c r="K49" s="369"/>
      <c r="L49" s="370"/>
      <c r="M49" s="342"/>
    </row>
    <row r="50" spans="2:15">
      <c r="B50" s="331"/>
      <c r="C50" s="332"/>
      <c r="E50" s="342"/>
      <c r="F50" s="332"/>
      <c r="G50" s="332"/>
      <c r="H50" s="332"/>
      <c r="I50" s="369"/>
      <c r="J50" s="369"/>
      <c r="K50" s="369"/>
      <c r="L50" s="370"/>
      <c r="M50" s="342"/>
    </row>
    <row r="51" spans="2:15">
      <c r="B51" s="331"/>
      <c r="C51" s="332"/>
      <c r="E51" s="342"/>
      <c r="F51" s="332"/>
      <c r="G51" s="332"/>
      <c r="H51" s="332"/>
      <c r="I51" s="369"/>
      <c r="J51" s="369"/>
      <c r="K51" s="369"/>
      <c r="L51" s="370"/>
      <c r="M51" s="342"/>
    </row>
    <row r="52" spans="2:15">
      <c r="D52" s="323"/>
      <c r="E52" s="323"/>
      <c r="G52" s="344"/>
      <c r="H52" s="323"/>
      <c r="I52" s="323"/>
      <c r="J52" s="323"/>
      <c r="K52" s="323"/>
      <c r="L52" s="323"/>
      <c r="M52" s="379"/>
    </row>
    <row r="53" spans="2:15">
      <c r="D53" s="323"/>
      <c r="E53" s="323"/>
      <c r="F53" s="332"/>
      <c r="G53" s="344"/>
      <c r="H53" s="323"/>
      <c r="I53" s="323"/>
      <c r="J53" s="323"/>
      <c r="K53" s="323"/>
      <c r="L53" s="323"/>
      <c r="M53" s="379"/>
      <c r="O53" s="380"/>
    </row>
    <row r="54" spans="2:15">
      <c r="D54" s="323"/>
      <c r="E54" s="323"/>
      <c r="F54" s="332" t="str">
        <f>F5</f>
        <v xml:space="preserve">AEP East Companies </v>
      </c>
      <c r="G54" s="344"/>
      <c r="H54" s="323"/>
      <c r="I54" s="323"/>
      <c r="J54" s="323"/>
      <c r="K54" s="323"/>
      <c r="L54" s="323"/>
      <c r="M54" s="379"/>
      <c r="O54" s="380"/>
    </row>
    <row r="55" spans="2:15">
      <c r="D55" s="323"/>
      <c r="E55" s="329"/>
      <c r="F55" s="332" t="str">
        <f>F6</f>
        <v>Transmission Cost of Service Formula Rate</v>
      </c>
      <c r="G55" s="329"/>
      <c r="H55" s="329"/>
      <c r="I55" s="329"/>
      <c r="J55" s="329"/>
      <c r="K55" s="329"/>
      <c r="L55" s="329"/>
      <c r="M55" s="381"/>
      <c r="O55" s="376"/>
    </row>
    <row r="56" spans="2:15">
      <c r="D56" s="323"/>
      <c r="E56" s="329"/>
      <c r="F56" s="360" t="str">
        <f>F7</f>
        <v>Utilizing  Actual/Projected FERC Form 1 Data</v>
      </c>
      <c r="G56" s="329"/>
      <c r="H56" s="329"/>
      <c r="I56" s="329"/>
      <c r="J56" s="329"/>
      <c r="K56" s="329"/>
      <c r="L56" s="329"/>
      <c r="M56" s="382"/>
      <c r="O56" s="376"/>
    </row>
    <row r="57" spans="2:15">
      <c r="D57" s="323"/>
      <c r="E57" s="329"/>
      <c r="F57" s="332"/>
      <c r="G57" s="329"/>
      <c r="H57" s="329"/>
      <c r="I57" s="329"/>
      <c r="J57" s="329"/>
      <c r="K57" s="329"/>
      <c r="L57" s="329"/>
      <c r="M57" s="347"/>
      <c r="O57" s="376"/>
    </row>
    <row r="58" spans="2:15">
      <c r="D58" s="323"/>
      <c r="E58" s="329"/>
      <c r="F58" s="332" t="str">
        <f>F9</f>
        <v>Appalachian Power Company</v>
      </c>
      <c r="G58" s="329"/>
      <c r="H58" s="329"/>
      <c r="I58" s="329"/>
      <c r="J58" s="329"/>
      <c r="K58" s="329"/>
      <c r="L58" s="329"/>
      <c r="M58" s="347"/>
      <c r="O58" s="376"/>
    </row>
    <row r="59" spans="2:15">
      <c r="D59" s="323"/>
      <c r="E59" s="360"/>
      <c r="F59" s="360"/>
      <c r="G59" s="360"/>
      <c r="H59" s="360"/>
      <c r="I59" s="360"/>
      <c r="J59" s="360"/>
      <c r="K59" s="360"/>
      <c r="L59" s="329"/>
      <c r="M59" s="347"/>
      <c r="O59" s="376"/>
    </row>
    <row r="60" spans="2:15">
      <c r="D60" s="332" t="s">
        <v>122</v>
      </c>
      <c r="E60" s="332" t="s">
        <v>123</v>
      </c>
      <c r="F60" s="332"/>
      <c r="G60" s="332" t="s">
        <v>124</v>
      </c>
      <c r="H60" s="329" t="s">
        <v>115</v>
      </c>
      <c r="I60" s="1393" t="s">
        <v>125</v>
      </c>
      <c r="J60" s="1394"/>
      <c r="K60" s="329"/>
      <c r="L60" s="333" t="s">
        <v>126</v>
      </c>
      <c r="M60" s="347"/>
    </row>
    <row r="61" spans="2:15">
      <c r="B61" s="317"/>
      <c r="D61" s="372"/>
      <c r="E61" s="372"/>
      <c r="F61" s="372"/>
      <c r="G61" s="377"/>
      <c r="H61" s="329"/>
      <c r="I61" s="329"/>
      <c r="J61" s="384"/>
      <c r="K61" s="329"/>
      <c r="M61" s="347"/>
    </row>
    <row r="62" spans="2:15" ht="15.75">
      <c r="B62" s="385"/>
      <c r="C62" s="332"/>
      <c r="D62" s="372"/>
      <c r="E62" s="386" t="s">
        <v>95</v>
      </c>
      <c r="F62" s="387"/>
      <c r="G62" s="329"/>
      <c r="H62" s="329"/>
      <c r="I62" s="329"/>
      <c r="J62" s="332"/>
      <c r="K62" s="329"/>
      <c r="L62" s="388" t="s">
        <v>119</v>
      </c>
      <c r="M62" s="347"/>
      <c r="O62" s="380"/>
    </row>
    <row r="63" spans="2:15" ht="15.75">
      <c r="B63" s="317"/>
      <c r="C63" s="339"/>
      <c r="D63" s="389" t="s">
        <v>94</v>
      </c>
      <c r="E63" s="390" t="s">
        <v>113</v>
      </c>
      <c r="F63" s="329"/>
      <c r="G63" s="389" t="s">
        <v>81</v>
      </c>
      <c r="H63" s="391"/>
      <c r="I63" s="1395" t="s">
        <v>120</v>
      </c>
      <c r="J63" s="1396"/>
      <c r="K63" s="391"/>
      <c r="L63" s="389" t="s">
        <v>116</v>
      </c>
      <c r="M63" s="347"/>
    </row>
    <row r="64" spans="2:15">
      <c r="B64" s="1113" t="str">
        <f>B11</f>
        <v>Line</v>
      </c>
      <c r="C64" s="357"/>
      <c r="D64" s="368"/>
      <c r="E64" s="347"/>
      <c r="F64" s="347"/>
      <c r="G64" s="1114" t="s">
        <v>355</v>
      </c>
      <c r="H64" s="347"/>
      <c r="I64" s="347"/>
      <c r="J64" s="347"/>
      <c r="K64" s="347"/>
      <c r="L64" s="347"/>
      <c r="M64" s="347"/>
    </row>
    <row r="65" spans="2:14" ht="15.75" thickBot="1">
      <c r="B65" s="1115" t="str">
        <f>B12</f>
        <v>No.</v>
      </c>
      <c r="C65" s="357"/>
      <c r="D65" s="368" t="s">
        <v>82</v>
      </c>
      <c r="E65" s="392"/>
      <c r="F65" s="392"/>
      <c r="G65" s="347"/>
      <c r="H65" s="347"/>
      <c r="I65" s="351"/>
      <c r="J65" s="347"/>
      <c r="K65" s="347"/>
      <c r="L65" s="347"/>
      <c r="M65" s="347"/>
    </row>
    <row r="66" spans="2:14">
      <c r="B66" s="356">
        <f>+B48+1</f>
        <v>19</v>
      </c>
      <c r="C66" s="357"/>
      <c r="D66" s="400" t="s">
        <v>127</v>
      </c>
      <c r="E66" s="347" t="str">
        <f>"(Worksheet A ln "&amp;'WS A - RB Support'!A23&amp;"."&amp;'WS A - RB Support'!C8&amp;")"</f>
        <v>(Worksheet A ln 14.(b))</v>
      </c>
      <c r="F66" s="347"/>
      <c r="G66" s="365">
        <f>'WS A - RB Support'!C23</f>
        <v>6435821365.9753857</v>
      </c>
      <c r="H66" s="365"/>
      <c r="I66" s="351" t="s">
        <v>128</v>
      </c>
      <c r="J66" s="352">
        <v>0</v>
      </c>
      <c r="K66" s="347"/>
      <c r="L66" s="394">
        <f>+J66*G66</f>
        <v>0</v>
      </c>
      <c r="M66" s="347"/>
    </row>
    <row r="67" spans="2:14">
      <c r="B67" s="356">
        <f>+B66+1</f>
        <v>20</v>
      </c>
      <c r="C67" s="357"/>
      <c r="D67" s="400" t="s">
        <v>378</v>
      </c>
      <c r="E67" s="347" t="str">
        <f>"(Worksheet A ln "&amp;'WS A - RB Support'!A23&amp;"."&amp;'WS A - RB Support'!D8&amp;")"</f>
        <v>(Worksheet A ln 14.(c))</v>
      </c>
      <c r="F67" s="347"/>
      <c r="G67" s="394">
        <f>-'WS A - RB Support'!D23</f>
        <v>-93146617.333846182</v>
      </c>
      <c r="H67" s="365"/>
      <c r="I67" s="351" t="s">
        <v>128</v>
      </c>
      <c r="J67" s="352">
        <v>0</v>
      </c>
      <c r="K67" s="347"/>
      <c r="L67" s="394">
        <f>+J67*G67</f>
        <v>0</v>
      </c>
      <c r="M67" s="347"/>
    </row>
    <row r="68" spans="2:14">
      <c r="B68" s="356">
        <f t="shared" ref="B68:B74" si="0">+B67+1</f>
        <v>21</v>
      </c>
      <c r="C68" s="408"/>
      <c r="D68" s="1116" t="s">
        <v>129</v>
      </c>
      <c r="E68" s="347" t="str">
        <f>"(Worksheet A ln "&amp;'WS A - RB Support'!A23&amp;"."&amp;'WS A - RB Support'!E8&amp;" &amp; TCOS Ln "&amp;B229&amp;")"</f>
        <v>(Worksheet A ln 14.(d) &amp; TCOS Ln 134)</v>
      </c>
      <c r="F68" s="396"/>
      <c r="G68" s="365">
        <f>'WS A - RB Support'!E23</f>
        <v>3104186612.5523076</v>
      </c>
      <c r="H68" s="365"/>
      <c r="I68" s="397" t="s">
        <v>130</v>
      </c>
      <c r="J68" s="352" t="s">
        <v>115</v>
      </c>
      <c r="K68" s="398"/>
      <c r="L68" s="394">
        <f>+L229</f>
        <v>3030758258.7323074</v>
      </c>
      <c r="M68" s="398"/>
    </row>
    <row r="69" spans="2:14">
      <c r="B69" s="356">
        <f t="shared" si="0"/>
        <v>22</v>
      </c>
      <c r="C69" s="408"/>
      <c r="D69" s="400" t="s">
        <v>379</v>
      </c>
      <c r="E69" s="347" t="str">
        <f>"(Worksheet A ln "&amp;'WS A - RB Support'!A23&amp;"."&amp;'WS A - RB Support'!F8&amp;")"</f>
        <v>(Worksheet A ln 14.(e))</v>
      </c>
      <c r="F69" s="396"/>
      <c r="G69" s="365">
        <f>-'WS A - RB Support'!F23</f>
        <v>0</v>
      </c>
      <c r="H69" s="365"/>
      <c r="I69" s="397" t="s">
        <v>121</v>
      </c>
      <c r="J69" s="352">
        <f>L231</f>
        <v>0.97634538029283413</v>
      </c>
      <c r="K69" s="398"/>
      <c r="L69" s="394">
        <f>+G69*J69</f>
        <v>0</v>
      </c>
      <c r="M69" s="398"/>
    </row>
    <row r="70" spans="2:14">
      <c r="B70" s="356">
        <f>+B69+1</f>
        <v>23</v>
      </c>
      <c r="C70" s="408"/>
      <c r="D70" s="368" t="s">
        <v>131</v>
      </c>
      <c r="E70" s="347" t="str">
        <f>"(Worksheet A ln "&amp;'WS A - RB Support'!A23&amp;"."&amp;'WS A - RB Support'!G8&amp;")"</f>
        <v>(Worksheet A ln 14.(f))</v>
      </c>
      <c r="F70" s="347"/>
      <c r="G70" s="365">
        <f>'WS A - RB Support'!G23</f>
        <v>3850982310.0015388</v>
      </c>
      <c r="H70" s="365"/>
      <c r="I70" s="351" t="s">
        <v>128</v>
      </c>
      <c r="J70" s="352">
        <v>0</v>
      </c>
      <c r="K70" s="347"/>
      <c r="L70" s="394">
        <f>+J70*G70</f>
        <v>0</v>
      </c>
      <c r="M70" s="347"/>
    </row>
    <row r="71" spans="2:14">
      <c r="B71" s="356">
        <f t="shared" si="0"/>
        <v>24</v>
      </c>
      <c r="C71" s="408"/>
      <c r="D71" s="400" t="s">
        <v>376</v>
      </c>
      <c r="E71" s="347" t="str">
        <f>"(Worksheet A ln "&amp;'WS A - RB Support'!A23&amp;"."&amp;'WS A - RB Support'!H8&amp;")"</f>
        <v>(Worksheet A ln 14.(g))</v>
      </c>
      <c r="F71" s="347"/>
      <c r="G71" s="394">
        <f>-'WS A - RB Support'!H23</f>
        <v>-3068.6276923076925</v>
      </c>
      <c r="H71" s="365"/>
      <c r="I71" s="351" t="s">
        <v>128</v>
      </c>
      <c r="J71" s="352">
        <v>0</v>
      </c>
      <c r="K71" s="347"/>
      <c r="L71" s="394">
        <f>+G71*J71</f>
        <v>0</v>
      </c>
      <c r="M71" s="347"/>
    </row>
    <row r="72" spans="2:14">
      <c r="B72" s="356">
        <f t="shared" si="0"/>
        <v>25</v>
      </c>
      <c r="C72" s="408"/>
      <c r="D72" s="368" t="s">
        <v>132</v>
      </c>
      <c r="E72" s="347" t="str">
        <f>"(Worksheet A ln "&amp;'WS A - RB Support'!A23&amp;"."&amp;'WS A - RB Support'!I8&amp;")"</f>
        <v>(Worksheet A ln 14.(h))</v>
      </c>
      <c r="F72" s="347"/>
      <c r="G72" s="365">
        <f>'WS A - RB Support'!I23</f>
        <v>241640558.23153844</v>
      </c>
      <c r="H72" s="365"/>
      <c r="I72" s="351" t="s">
        <v>133</v>
      </c>
      <c r="J72" s="352">
        <f>L241</f>
        <v>9.2721123183443332E-2</v>
      </c>
      <c r="K72" s="347"/>
      <c r="L72" s="394">
        <f>+J72*G72</f>
        <v>22405183.965902489</v>
      </c>
      <c r="M72" s="347"/>
    </row>
    <row r="73" spans="2:14">
      <c r="B73" s="356">
        <f t="shared" si="0"/>
        <v>26</v>
      </c>
      <c r="C73" s="408"/>
      <c r="D73" s="400" t="s">
        <v>377</v>
      </c>
      <c r="E73" s="347" t="str">
        <f>"(Worksheet A ln "&amp;'WS A - RB Support'!A23&amp;"."&amp;'WS A - RB Support'!J8&amp;")"</f>
        <v>(Worksheet A ln 14.(i))</v>
      </c>
      <c r="F73" s="347"/>
      <c r="G73" s="394">
        <f>-'WS A - RB Support'!J23</f>
        <v>-1106508.3723076924</v>
      </c>
      <c r="H73" s="365"/>
      <c r="I73" s="351" t="s">
        <v>133</v>
      </c>
      <c r="J73" s="352">
        <f>L241</f>
        <v>9.2721123183443332E-2</v>
      </c>
      <c r="K73" s="347"/>
      <c r="L73" s="394">
        <f>+G73*J73</f>
        <v>-102596.69909225292</v>
      </c>
      <c r="M73" s="347"/>
    </row>
    <row r="74" spans="2:14" ht="15.75" thickBot="1">
      <c r="B74" s="356">
        <f t="shared" si="0"/>
        <v>27</v>
      </c>
      <c r="C74" s="408"/>
      <c r="D74" s="368" t="s">
        <v>134</v>
      </c>
      <c r="E74" s="347" t="str">
        <f>"(Worksheet A ln "&amp;'WS A - RB Support'!A23&amp;"."&amp;'WS A - RB Support'!K8&amp;")"</f>
        <v>(Worksheet A ln 14.(j))</v>
      </c>
      <c r="F74" s="347"/>
      <c r="G74" s="401">
        <f>'WS A - RB Support'!K23</f>
        <v>162952380.77076924</v>
      </c>
      <c r="H74" s="365"/>
      <c r="I74" s="351" t="s">
        <v>133</v>
      </c>
      <c r="J74" s="352">
        <f>L241</f>
        <v>9.2721123183443332E-2</v>
      </c>
      <c r="K74" s="347"/>
      <c r="L74" s="491">
        <f>+J74*G74</f>
        <v>15109127.770481857</v>
      </c>
      <c r="M74" s="347"/>
      <c r="N74" s="323"/>
    </row>
    <row r="75" spans="2:14" ht="15.75">
      <c r="B75" s="356">
        <f>+B74+1</f>
        <v>28</v>
      </c>
      <c r="C75" s="408"/>
      <c r="D75" s="368" t="s">
        <v>47</v>
      </c>
      <c r="E75" s="357" t="str">
        <f>"(sum lns "&amp;B66&amp;" to "&amp;B74&amp;")"</f>
        <v>(sum lns 19 to 27)</v>
      </c>
      <c r="F75" s="693"/>
      <c r="G75" s="365">
        <f>SUM(G66:G74)</f>
        <v>13701327033.197695</v>
      </c>
      <c r="H75" s="365"/>
      <c r="I75" s="492" t="s">
        <v>767</v>
      </c>
      <c r="J75" s="403">
        <f>+L75/G75</f>
        <v>0.2239323217623784</v>
      </c>
      <c r="K75" s="347"/>
      <c r="L75" s="365">
        <f>SUM(L66:L74)</f>
        <v>3068169973.7695994</v>
      </c>
      <c r="M75" s="347"/>
      <c r="N75" s="323"/>
    </row>
    <row r="76" spans="2:14" ht="15.75">
      <c r="B76" s="356"/>
      <c r="C76" s="357"/>
      <c r="D76" s="368"/>
      <c r="E76" s="1118"/>
      <c r="F76" s="693"/>
      <c r="G76" s="365"/>
      <c r="H76" s="365"/>
      <c r="I76" s="1111" t="s">
        <v>217</v>
      </c>
      <c r="J76" s="404">
        <f>+L68/(G70+G68+G71)</f>
        <v>0.43575643232453765</v>
      </c>
      <c r="K76" s="347"/>
      <c r="L76" s="365"/>
      <c r="M76" s="347"/>
      <c r="N76" s="323"/>
    </row>
    <row r="77" spans="2:14">
      <c r="B77" s="356">
        <f>+B75+1</f>
        <v>29</v>
      </c>
      <c r="C77" s="357"/>
      <c r="D77" s="368" t="s">
        <v>24</v>
      </c>
      <c r="E77" s="392"/>
      <c r="F77" s="392"/>
      <c r="G77" s="365"/>
      <c r="H77" s="405"/>
      <c r="I77" s="351"/>
      <c r="J77" s="406"/>
      <c r="K77" s="347"/>
      <c r="L77" s="365"/>
      <c r="M77" s="347"/>
      <c r="N77" s="329"/>
    </row>
    <row r="78" spans="2:14">
      <c r="B78" s="356">
        <f>+B77+1</f>
        <v>30</v>
      </c>
      <c r="C78" s="357"/>
      <c r="D78" s="400" t="str">
        <f>+D66</f>
        <v xml:space="preserve">  Production</v>
      </c>
      <c r="E78" s="347" t="str">
        <f>"(Worksheet A ln "&amp;'WS A - RB Support'!A42&amp;"."&amp;'WS A - RB Support'!C27&amp;")"</f>
        <v>(Worksheet A ln 28.(b))</v>
      </c>
      <c r="F78" s="347"/>
      <c r="G78" s="365">
        <f>'WS A - RB Support'!C42</f>
        <v>2393455298.4576921</v>
      </c>
      <c r="H78" s="365"/>
      <c r="I78" s="351" t="s">
        <v>128</v>
      </c>
      <c r="J78" s="352">
        <v>0</v>
      </c>
      <c r="K78" s="347"/>
      <c r="L78" s="394">
        <f>+J78*G78</f>
        <v>0</v>
      </c>
      <c r="M78" s="347"/>
      <c r="N78" s="329"/>
    </row>
    <row r="79" spans="2:14">
      <c r="B79" s="356">
        <f t="shared" ref="B79:B87" si="1">+B78+1</f>
        <v>31</v>
      </c>
      <c r="C79" s="357"/>
      <c r="D79" s="400" t="s">
        <v>378</v>
      </c>
      <c r="E79" s="347" t="str">
        <f>"(Worksheet A ln "&amp;'WS A - RB Support'!A42&amp;"."&amp;'WS A - RB Support'!D27&amp;")"</f>
        <v>(Worksheet A ln 28.(c))</v>
      </c>
      <c r="F79" s="347"/>
      <c r="G79" s="394">
        <f>-'WS A - RB Support'!D42</f>
        <v>-34251769.140000001</v>
      </c>
      <c r="H79" s="365"/>
      <c r="I79" s="351" t="s">
        <v>128</v>
      </c>
      <c r="J79" s="352">
        <v>0</v>
      </c>
      <c r="K79" s="347"/>
      <c r="L79" s="394">
        <f>+J79*G79</f>
        <v>0</v>
      </c>
      <c r="M79" s="347"/>
      <c r="N79" s="329"/>
    </row>
    <row r="80" spans="2:14" ht="15.75">
      <c r="B80" s="356">
        <f t="shared" si="1"/>
        <v>32</v>
      </c>
      <c r="C80" s="408"/>
      <c r="D80" s="1116" t="str">
        <f>D68</f>
        <v xml:space="preserve">  Transmission</v>
      </c>
      <c r="E80" s="347" t="str">
        <f>"(Worksheet A ln "&amp;'WS A - RB Support'!A42&amp;"."&amp;'WS A - RB Support'!E27&amp;" &amp; "&amp;"ln "&amp;'WS A - RB Support'!A64&amp;"."&amp;'WS A - RB Support'!D47&amp;")"</f>
        <v>(Worksheet A ln 28.(d) &amp; ln 43.(c))</v>
      </c>
      <c r="F80" s="396"/>
      <c r="G80" s="399">
        <f>'WS A - RB Support'!E42</f>
        <v>725234767.75230765</v>
      </c>
      <c r="H80" s="365"/>
      <c r="I80" s="1112" t="s">
        <v>27</v>
      </c>
      <c r="J80" s="407">
        <f>L80/G80</f>
        <v>0.9714927541895283</v>
      </c>
      <c r="K80" s="398"/>
      <c r="L80" s="394">
        <f>'WS A - RB Support'!D64</f>
        <v>704560321.95769227</v>
      </c>
      <c r="M80" s="398"/>
      <c r="N80" s="329"/>
    </row>
    <row r="81" spans="2:14" ht="15.75">
      <c r="B81" s="356">
        <f t="shared" si="1"/>
        <v>33</v>
      </c>
      <c r="C81" s="408"/>
      <c r="D81" s="400" t="s">
        <v>379</v>
      </c>
      <c r="E81" s="347" t="str">
        <f>"(Worksheet A ln "&amp;'WS A - RB Support'!A42&amp;"."&amp;'WS A - RB Support'!F27&amp;")"</f>
        <v>(Worksheet A ln 28.(e))</v>
      </c>
      <c r="F81" s="396"/>
      <c r="G81" s="394">
        <f>-'WS A - RB Support'!F42</f>
        <v>0</v>
      </c>
      <c r="H81" s="365"/>
      <c r="I81" s="1112" t="s">
        <v>27</v>
      </c>
      <c r="J81" s="352">
        <f>+J80</f>
        <v>0.9714927541895283</v>
      </c>
      <c r="K81" s="398"/>
      <c r="L81" s="394">
        <f t="shared" ref="L81:L86" si="2">+J81*G81</f>
        <v>0</v>
      </c>
      <c r="M81" s="398"/>
      <c r="N81" s="329"/>
    </row>
    <row r="82" spans="2:14">
      <c r="B82" s="356">
        <f>+B81+1</f>
        <v>34</v>
      </c>
      <c r="C82" s="408"/>
      <c r="D82" s="368" t="str">
        <f>+D70</f>
        <v xml:space="preserve">  Distribution</v>
      </c>
      <c r="E82" s="347" t="str">
        <f>"(Worksheet A ln "&amp;'WS A - RB Support'!A42&amp;"."&amp;'WS A - RB Support'!G27&amp;")"</f>
        <v>(Worksheet A ln 28.(f))</v>
      </c>
      <c r="F82" s="347"/>
      <c r="G82" s="365">
        <f>'WS A - RB Support'!G42</f>
        <v>1314700903.2915385</v>
      </c>
      <c r="H82" s="365"/>
      <c r="I82" s="351" t="s">
        <v>128</v>
      </c>
      <c r="J82" s="352">
        <v>0</v>
      </c>
      <c r="K82" s="347"/>
      <c r="L82" s="394">
        <f t="shared" si="2"/>
        <v>0</v>
      </c>
      <c r="M82" s="347"/>
      <c r="N82" s="329"/>
    </row>
    <row r="83" spans="2:14">
      <c r="B83" s="356">
        <f t="shared" si="1"/>
        <v>35</v>
      </c>
      <c r="C83" s="408"/>
      <c r="D83" s="400" t="s">
        <v>376</v>
      </c>
      <c r="E83" s="347" t="str">
        <f>"(Worksheet A ln "&amp;'WS A - RB Support'!A42&amp;"."&amp;'WS A - RB Support'!H27&amp;")"</f>
        <v>(Worksheet A ln 28.(g))</v>
      </c>
      <c r="F83" s="347"/>
      <c r="G83" s="394">
        <f>-'WS A - RB Support'!H42</f>
        <v>-1894.82</v>
      </c>
      <c r="H83" s="365"/>
      <c r="I83" s="351" t="s">
        <v>128</v>
      </c>
      <c r="J83" s="352">
        <v>0</v>
      </c>
      <c r="K83" s="347"/>
      <c r="L83" s="394">
        <f t="shared" si="2"/>
        <v>0</v>
      </c>
      <c r="M83" s="347"/>
      <c r="N83" s="329"/>
    </row>
    <row r="84" spans="2:14">
      <c r="B84" s="356">
        <f t="shared" si="1"/>
        <v>36</v>
      </c>
      <c r="C84" s="408"/>
      <c r="D84" s="368" t="str">
        <f>+D72</f>
        <v xml:space="preserve">  General Plant   </v>
      </c>
      <c r="E84" s="347" t="str">
        <f>"(Worksheet A ln "&amp;'WS A - RB Support'!A42&amp;"."&amp;'WS A - RB Support'!I27&amp;")"</f>
        <v>(Worksheet A ln 28.(h))</v>
      </c>
      <c r="F84" s="347"/>
      <c r="G84" s="350">
        <f>'WS A - RB Support'!I42</f>
        <v>83311594.656923071</v>
      </c>
      <c r="H84" s="365"/>
      <c r="I84" s="351" t="s">
        <v>133</v>
      </c>
      <c r="J84" s="352">
        <f>L241</f>
        <v>9.2721123183443332E-2</v>
      </c>
      <c r="K84" s="347"/>
      <c r="L84" s="394">
        <f t="shared" si="2"/>
        <v>7724744.6307936637</v>
      </c>
      <c r="M84" s="347"/>
      <c r="N84" s="329"/>
    </row>
    <row r="85" spans="2:14">
      <c r="B85" s="356">
        <f t="shared" si="1"/>
        <v>37</v>
      </c>
      <c r="C85" s="408"/>
      <c r="D85" s="400" t="s">
        <v>377</v>
      </c>
      <c r="E85" s="347" t="str">
        <f>"(Worksheet A ln "&amp;'WS A - RB Support'!A42&amp;"."&amp;'WS A - RB Support'!J27&amp;")"</f>
        <v>(Worksheet A ln 28.(i))</v>
      </c>
      <c r="F85" s="347"/>
      <c r="G85" s="394">
        <f>-'WS A - RB Support'!J42</f>
        <v>-652838.30615384621</v>
      </c>
      <c r="H85" s="365"/>
      <c r="I85" s="351" t="s">
        <v>133</v>
      </c>
      <c r="J85" s="352">
        <f>L241</f>
        <v>9.2721123183443332E-2</v>
      </c>
      <c r="K85" s="347"/>
      <c r="L85" s="394">
        <f t="shared" si="2"/>
        <v>-60531.901003761268</v>
      </c>
      <c r="M85" s="347"/>
      <c r="N85" s="329"/>
    </row>
    <row r="86" spans="2:14" ht="15.75" thickBot="1">
      <c r="B86" s="356">
        <f t="shared" si="1"/>
        <v>38</v>
      </c>
      <c r="C86" s="408"/>
      <c r="D86" s="368" t="str">
        <f>+D74</f>
        <v xml:space="preserve">  Intangible Plant</v>
      </c>
      <c r="E86" s="347" t="str">
        <f>"(Worksheet A ln "&amp;'WS A - RB Support'!A42&amp;"."&amp;'WS A - RB Support'!K27&amp;")"</f>
        <v>(Worksheet A ln 28.(j))</v>
      </c>
      <c r="F86" s="347"/>
      <c r="G86" s="401">
        <f>'WS A - RB Support'!K42</f>
        <v>87646467.331538454</v>
      </c>
      <c r="H86" s="365"/>
      <c r="I86" s="351" t="s">
        <v>133</v>
      </c>
      <c r="J86" s="352">
        <f>L241</f>
        <v>9.2721123183443332E-2</v>
      </c>
      <c r="K86" s="347"/>
      <c r="L86" s="491">
        <f t="shared" si="2"/>
        <v>8126678.8940412188</v>
      </c>
      <c r="M86" s="347"/>
      <c r="N86" s="329"/>
    </row>
    <row r="87" spans="2:14">
      <c r="B87" s="356">
        <f t="shared" si="1"/>
        <v>39</v>
      </c>
      <c r="C87" s="408"/>
      <c r="D87" s="368" t="s">
        <v>46</v>
      </c>
      <c r="E87" s="1096" t="str">
        <f>"(sum lns "&amp;B78&amp;" to "&amp;B86&amp;")"</f>
        <v>(sum lns 30 to 38)</v>
      </c>
      <c r="F87" s="691"/>
      <c r="G87" s="365">
        <f>SUM(G78:G86)</f>
        <v>4569442529.2238455</v>
      </c>
      <c r="H87" s="365"/>
      <c r="I87" s="351"/>
      <c r="J87" s="347"/>
      <c r="K87" s="365"/>
      <c r="L87" s="365">
        <f>SUM(L78:L86)</f>
        <v>720351213.58152342</v>
      </c>
      <c r="M87" s="347"/>
      <c r="N87" s="329"/>
    </row>
    <row r="88" spans="2:14">
      <c r="B88" s="356"/>
      <c r="C88" s="357"/>
      <c r="D88" s="322"/>
      <c r="E88" s="1119"/>
      <c r="F88" s="691"/>
      <c r="G88" s="365"/>
      <c r="H88" s="365"/>
      <c r="I88" s="351"/>
      <c r="J88" s="409"/>
      <c r="K88" s="347"/>
      <c r="L88" s="365"/>
      <c r="M88" s="347"/>
      <c r="N88" s="329"/>
    </row>
    <row r="89" spans="2:14">
      <c r="B89" s="356">
        <f>+B87+1</f>
        <v>40</v>
      </c>
      <c r="C89" s="357"/>
      <c r="D89" s="368" t="s">
        <v>83</v>
      </c>
      <c r="E89" s="392"/>
      <c r="F89" s="392"/>
      <c r="G89" s="365"/>
      <c r="H89" s="365"/>
      <c r="I89" s="351"/>
      <c r="J89" s="347"/>
      <c r="K89" s="347"/>
      <c r="L89" s="365"/>
      <c r="M89" s="347"/>
      <c r="N89" s="329"/>
    </row>
    <row r="90" spans="2:14">
      <c r="B90" s="356">
        <f t="shared" ref="B90:B95" si="3">+B89+1</f>
        <v>41</v>
      </c>
      <c r="C90" s="408"/>
      <c r="D90" s="400" t="str">
        <f>+D78</f>
        <v xml:space="preserve">  Production</v>
      </c>
      <c r="E90" s="347" t="str">
        <f>" (ln "&amp;B66&amp;" + ln "&amp;B67&amp;" - ln "&amp;B78&amp;" - ln "&amp;B79&amp;")"</f>
        <v xml:space="preserve"> (ln 19 + ln 20 - ln 30 - ln 31)</v>
      </c>
      <c r="F90" s="347"/>
      <c r="G90" s="365">
        <f>G66+G67-G78-G79</f>
        <v>3983471219.3238473</v>
      </c>
      <c r="H90" s="365"/>
      <c r="I90" s="351"/>
      <c r="J90" s="410"/>
      <c r="K90" s="347"/>
      <c r="L90" s="365">
        <f>L66+L67-L78-L79</f>
        <v>0</v>
      </c>
      <c r="M90" s="347"/>
      <c r="N90" s="329"/>
    </row>
    <row r="91" spans="2:14">
      <c r="B91" s="356">
        <f t="shared" si="3"/>
        <v>42</v>
      </c>
      <c r="C91" s="408"/>
      <c r="D91" s="400" t="str">
        <f>+D80</f>
        <v xml:space="preserve">  Transmission</v>
      </c>
      <c r="E91" s="347" t="str">
        <f>" (ln "&amp;B68&amp;" + ln "&amp;B69&amp;" - ln "&amp;B80&amp;" - ln "&amp;B81&amp;")"</f>
        <v xml:space="preserve"> (ln 21 + ln 22 - ln 32 - ln 33)</v>
      </c>
      <c r="F91" s="347"/>
      <c r="G91" s="365">
        <f>+G68+G69-G80-G81</f>
        <v>2378951844.8000002</v>
      </c>
      <c r="H91" s="365"/>
      <c r="I91" s="351"/>
      <c r="J91" s="407"/>
      <c r="K91" s="347"/>
      <c r="L91" s="365">
        <f>+L68+L69-L80-L81</f>
        <v>2326197936.7746153</v>
      </c>
      <c r="M91" s="347"/>
      <c r="N91" s="329"/>
    </row>
    <row r="92" spans="2:14">
      <c r="B92" s="356">
        <f>+B91+1</f>
        <v>43</v>
      </c>
      <c r="C92" s="408"/>
      <c r="D92" s="400" t="str">
        <f>+D82</f>
        <v xml:space="preserve">  Distribution</v>
      </c>
      <c r="E92" s="347" t="str">
        <f>" (ln "&amp;B70&amp;" + ln "&amp;B71&amp;" - ln "&amp;B82&amp;" - ln "&amp;B83&amp;")"</f>
        <v xml:space="preserve"> (ln 23 + ln 24 - ln 34 - ln 35)</v>
      </c>
      <c r="F92" s="347"/>
      <c r="G92" s="365">
        <f>+G70+G71-G82-G83</f>
        <v>2536280232.902308</v>
      </c>
      <c r="H92" s="365"/>
      <c r="I92" s="351"/>
      <c r="J92" s="409"/>
      <c r="K92" s="347"/>
      <c r="L92" s="365">
        <f>+L70+L71-L82-L83</f>
        <v>0</v>
      </c>
      <c r="M92" s="347"/>
      <c r="N92" s="329"/>
    </row>
    <row r="93" spans="2:14">
      <c r="B93" s="356">
        <f t="shared" si="3"/>
        <v>44</v>
      </c>
      <c r="C93" s="408"/>
      <c r="D93" s="400" t="str">
        <f>+D84</f>
        <v xml:space="preserve">  General Plant   </v>
      </c>
      <c r="E93" s="347" t="str">
        <f>" (ln "&amp;B72&amp;" + ln "&amp;B73&amp;" - ln "&amp;B84&amp;" - ln "&amp;B85&amp;")"</f>
        <v xml:space="preserve"> (ln 25 + ln 26 - ln 36 - ln 37)</v>
      </c>
      <c r="F93" s="347"/>
      <c r="G93" s="365">
        <f>+G72+G73-G84-G85</f>
        <v>157875293.50846153</v>
      </c>
      <c r="H93" s="365"/>
      <c r="I93" s="351"/>
      <c r="J93" s="409"/>
      <c r="K93" s="347"/>
      <c r="L93" s="365">
        <f>+L72+L73-L84-L85</f>
        <v>14638374.537020331</v>
      </c>
      <c r="M93" s="347"/>
      <c r="N93" s="329"/>
    </row>
    <row r="94" spans="2:14" ht="15.75" thickBot="1">
      <c r="B94" s="356">
        <f t="shared" si="3"/>
        <v>45</v>
      </c>
      <c r="C94" s="408"/>
      <c r="D94" s="400" t="str">
        <f>+D86</f>
        <v xml:space="preserve">  Intangible Plant</v>
      </c>
      <c r="E94" s="347" t="str">
        <f>" (ln "&amp;B74&amp;" - ln "&amp;B86&amp;")"</f>
        <v xml:space="preserve"> (ln 27 - ln 38)</v>
      </c>
      <c r="F94" s="347"/>
      <c r="G94" s="401">
        <f>+G74-G86</f>
        <v>75305913.439230785</v>
      </c>
      <c r="H94" s="365"/>
      <c r="I94" s="351"/>
      <c r="J94" s="409"/>
      <c r="K94" s="347"/>
      <c r="L94" s="401">
        <f>+L74-L86</f>
        <v>6982448.8764406377</v>
      </c>
      <c r="M94" s="347"/>
      <c r="N94" s="329"/>
    </row>
    <row r="95" spans="2:14" ht="15.75">
      <c r="B95" s="356">
        <f t="shared" si="3"/>
        <v>46</v>
      </c>
      <c r="C95" s="408"/>
      <c r="D95" s="400" t="s">
        <v>45</v>
      </c>
      <c r="E95" s="400" t="str">
        <f>"(sum lns "&amp;B90&amp;" to "&amp;B94&amp;")"</f>
        <v>(sum lns 41 to 45)</v>
      </c>
      <c r="F95" s="347"/>
      <c r="G95" s="365">
        <f>SUM(G90:G94)</f>
        <v>9131884503.9738464</v>
      </c>
      <c r="H95" s="365"/>
      <c r="I95" s="492" t="s">
        <v>768</v>
      </c>
      <c r="J95" s="403">
        <f>+L95/G95</f>
        <v>0.25710123240897265</v>
      </c>
      <c r="K95" s="347"/>
      <c r="L95" s="365">
        <f>SUM(L91:L94)</f>
        <v>2347818760.188076</v>
      </c>
      <c r="M95" s="347"/>
      <c r="N95" s="329"/>
    </row>
    <row r="96" spans="2:14">
      <c r="B96" s="356"/>
      <c r="C96" s="357"/>
      <c r="D96" s="368"/>
      <c r="E96" s="347"/>
      <c r="F96" s="347"/>
      <c r="G96" s="365"/>
      <c r="H96" s="365"/>
      <c r="I96" s="425"/>
      <c r="J96" s="414"/>
      <c r="K96" s="347"/>
      <c r="L96" s="365"/>
      <c r="M96" s="347"/>
      <c r="N96" s="329"/>
    </row>
    <row r="97" spans="2:14">
      <c r="B97" s="356"/>
      <c r="C97" s="357"/>
      <c r="D97" s="322"/>
      <c r="E97" s="322"/>
      <c r="F97" s="322"/>
      <c r="G97" s="579"/>
      <c r="H97" s="579"/>
      <c r="I97" s="1118"/>
      <c r="J97" s="579"/>
      <c r="K97" s="579"/>
      <c r="L97" s="579"/>
      <c r="M97" s="415"/>
      <c r="N97" s="329"/>
    </row>
    <row r="98" spans="2:14">
      <c r="B98" s="356">
        <f>+B95+1</f>
        <v>47</v>
      </c>
      <c r="C98" s="357"/>
      <c r="D98" s="368" t="s">
        <v>327</v>
      </c>
      <c r="E98" s="347" t="s">
        <v>304</v>
      </c>
      <c r="F98" s="351"/>
      <c r="G98" s="579"/>
      <c r="H98" s="579"/>
      <c r="I98" s="1118"/>
      <c r="J98" s="579"/>
      <c r="K98" s="579"/>
      <c r="L98" s="579"/>
      <c r="M98" s="415"/>
      <c r="N98" s="329"/>
    </row>
    <row r="99" spans="2:14">
      <c r="B99" s="356">
        <f t="shared" ref="B99:B104" si="4">+B98+1</f>
        <v>48</v>
      </c>
      <c r="C99" s="408"/>
      <c r="D99" s="400" t="s">
        <v>194</v>
      </c>
      <c r="E99" s="347" t="s">
        <v>537</v>
      </c>
      <c r="F99" s="347"/>
      <c r="G99" s="365">
        <f>-'WS B ADIT &amp; ITC'!I17</f>
        <v>-278924094.5</v>
      </c>
      <c r="H99" s="365"/>
      <c r="I99" s="351" t="s">
        <v>128</v>
      </c>
      <c r="J99" s="352"/>
      <c r="K99" s="347"/>
      <c r="L99" s="365">
        <f>'WS B ADIT &amp; ITC'!I20</f>
        <v>0</v>
      </c>
      <c r="M99" s="347"/>
      <c r="N99" s="329"/>
    </row>
    <row r="100" spans="2:14">
      <c r="B100" s="356">
        <f t="shared" si="4"/>
        <v>49</v>
      </c>
      <c r="C100" s="408"/>
      <c r="D100" s="400" t="s">
        <v>195</v>
      </c>
      <c r="E100" s="347" t="s">
        <v>538</v>
      </c>
      <c r="F100" s="347"/>
      <c r="G100" s="365">
        <f>-'WS B ADIT &amp; ITC'!I25</f>
        <v>-1997909024.8299997</v>
      </c>
      <c r="H100" s="365"/>
      <c r="I100" s="351" t="s">
        <v>130</v>
      </c>
      <c r="J100" s="352"/>
      <c r="K100" s="347"/>
      <c r="L100" s="365">
        <f>-'WS B ADIT &amp; ITC'!I28</f>
        <v>-548782806.74500012</v>
      </c>
      <c r="M100" s="347"/>
      <c r="N100" s="329"/>
    </row>
    <row r="101" spans="2:14">
      <c r="B101" s="356">
        <f t="shared" si="4"/>
        <v>50</v>
      </c>
      <c r="C101" s="408"/>
      <c r="D101" s="400" t="s">
        <v>196</v>
      </c>
      <c r="E101" s="347" t="s">
        <v>539</v>
      </c>
      <c r="F101" s="347"/>
      <c r="G101" s="365">
        <f>-'WS B ADIT &amp; ITC'!I33</f>
        <v>-353444894.92000002</v>
      </c>
      <c r="H101" s="365"/>
      <c r="I101" s="351" t="s">
        <v>130</v>
      </c>
      <c r="J101" s="352"/>
      <c r="K101" s="347"/>
      <c r="L101" s="365">
        <f>-'WS B ADIT &amp; ITC'!I36</f>
        <v>-20920912.375</v>
      </c>
      <c r="M101" s="347"/>
      <c r="N101" s="329"/>
    </row>
    <row r="102" spans="2:14">
      <c r="B102" s="356">
        <f t="shared" si="4"/>
        <v>51</v>
      </c>
      <c r="C102" s="408"/>
      <c r="D102" s="400" t="s">
        <v>197</v>
      </c>
      <c r="E102" s="347" t="s">
        <v>540</v>
      </c>
      <c r="F102" s="347"/>
      <c r="G102" s="365">
        <f>'WS B ADIT &amp; ITC'!I41</f>
        <v>241560626.72999999</v>
      </c>
      <c r="H102" s="365"/>
      <c r="I102" s="351" t="s">
        <v>130</v>
      </c>
      <c r="J102" s="352"/>
      <c r="K102" s="347"/>
      <c r="L102" s="365">
        <f>'WS B ADIT &amp; ITC'!I44</f>
        <v>51756722.414999962</v>
      </c>
      <c r="M102" s="347"/>
      <c r="N102" s="329"/>
    </row>
    <row r="103" spans="2:14" ht="15.75" thickBot="1">
      <c r="B103" s="356">
        <f t="shared" si="4"/>
        <v>52</v>
      </c>
      <c r="C103" s="408"/>
      <c r="D103" s="477" t="s">
        <v>135</v>
      </c>
      <c r="E103" s="347" t="s">
        <v>541</v>
      </c>
      <c r="F103" s="322"/>
      <c r="G103" s="401">
        <f>-'WS B ADIT &amp; ITC'!I51</f>
        <v>-915105</v>
      </c>
      <c r="H103" s="365"/>
      <c r="I103" s="351" t="s">
        <v>130</v>
      </c>
      <c r="J103" s="352"/>
      <c r="K103" s="347"/>
      <c r="L103" s="401">
        <f>-'WS B ADIT &amp; ITC'!I52</f>
        <v>-21106</v>
      </c>
      <c r="M103" s="416"/>
      <c r="N103" s="329"/>
    </row>
    <row r="104" spans="2:14">
      <c r="B104" s="356">
        <f t="shared" si="4"/>
        <v>53</v>
      </c>
      <c r="C104" s="408"/>
      <c r="D104" s="400" t="s">
        <v>92</v>
      </c>
      <c r="E104" s="400" t="str">
        <f>"(sum lns "&amp;B99&amp;" to "&amp;B103&amp;")"</f>
        <v>(sum lns 48 to 52)</v>
      </c>
      <c r="F104" s="347"/>
      <c r="G104" s="365">
        <f>SUM(G99:G103)</f>
        <v>-2389632492.52</v>
      </c>
      <c r="H104" s="579"/>
      <c r="I104" s="351"/>
      <c r="J104" s="418"/>
      <c r="K104" s="347"/>
      <c r="L104" s="365">
        <f>SUM(L99:L103)</f>
        <v>-517968102.70500016</v>
      </c>
      <c r="M104" s="347"/>
    </row>
    <row r="105" spans="2:14">
      <c r="B105" s="356"/>
      <c r="C105" s="357"/>
      <c r="D105" s="400"/>
      <c r="E105" s="347"/>
      <c r="F105" s="347"/>
      <c r="G105" s="365"/>
      <c r="H105" s="579"/>
      <c r="I105" s="351"/>
      <c r="J105" s="409"/>
      <c r="K105" s="347"/>
      <c r="L105" s="365"/>
      <c r="M105" s="347"/>
    </row>
    <row r="106" spans="2:14">
      <c r="B106" s="356">
        <f>+B104+1</f>
        <v>54</v>
      </c>
      <c r="C106" s="357"/>
      <c r="D106" s="400" t="s">
        <v>206</v>
      </c>
      <c r="E106" s="347" t="str">
        <f>"(Worksheet A ln "&amp;'WS A - RB Support'!A69&amp;"."&amp;'WS A - RB Support'!F68&amp;" &amp; "&amp;"ln "&amp;'WS A - RB Support'!A71&amp;"."&amp;'WS A - RB Support'!F68&amp;")"</f>
        <v>(Worksheet A ln 44.(e) &amp; ln 45.(e))</v>
      </c>
      <c r="F106" s="347"/>
      <c r="G106" s="365">
        <f>'WS A - RB Support'!F69</f>
        <v>4352051</v>
      </c>
      <c r="H106" s="579"/>
      <c r="I106" s="351" t="s">
        <v>130</v>
      </c>
      <c r="J106" s="352"/>
      <c r="K106" s="347"/>
      <c r="L106" s="365">
        <f>'WS A - RB Support'!F71</f>
        <v>1632033</v>
      </c>
      <c r="M106" s="347"/>
    </row>
    <row r="107" spans="2:14">
      <c r="B107" s="356"/>
      <c r="C107" s="357"/>
      <c r="D107" s="400"/>
      <c r="E107" s="347"/>
      <c r="F107" s="347"/>
      <c r="G107" s="365"/>
      <c r="H107" s="579"/>
      <c r="I107" s="351"/>
      <c r="J107" s="352"/>
      <c r="K107" s="347"/>
      <c r="L107" s="365"/>
      <c r="M107" s="347"/>
    </row>
    <row r="108" spans="2:14">
      <c r="B108" s="356">
        <f>+B106+1</f>
        <v>55</v>
      </c>
      <c r="C108" s="357"/>
      <c r="D108" s="400" t="s">
        <v>328</v>
      </c>
      <c r="E108" s="347" t="str">
        <f>"(Worksheet A ln "&amp;'WS A - RB Support'!A80&amp;"."&amp;'WS A - RB Support'!F68&amp;")"</f>
        <v>(Worksheet A ln 51.(e))</v>
      </c>
      <c r="F108" s="347"/>
      <c r="G108" s="365">
        <f>'WS A - RB Support'!F80</f>
        <v>0</v>
      </c>
      <c r="H108" s="579"/>
      <c r="I108" s="351" t="s">
        <v>130</v>
      </c>
      <c r="J108" s="347"/>
      <c r="K108" s="347"/>
      <c r="L108" s="365">
        <f>+G108</f>
        <v>0</v>
      </c>
      <c r="M108" s="347"/>
    </row>
    <row r="109" spans="2:14">
      <c r="B109" s="356"/>
      <c r="C109" s="357"/>
      <c r="D109" s="400"/>
      <c r="E109" s="347"/>
      <c r="F109" s="347"/>
      <c r="G109" s="365"/>
      <c r="H109" s="579"/>
      <c r="I109" s="351"/>
      <c r="J109" s="347"/>
      <c r="K109" s="347"/>
      <c r="L109" s="365"/>
      <c r="M109" s="347"/>
    </row>
    <row r="110" spans="2:14" ht="14.25" customHeight="1">
      <c r="B110" s="356">
        <f>+B108+1</f>
        <v>56</v>
      </c>
      <c r="C110" s="408"/>
      <c r="D110" s="472" t="s">
        <v>756</v>
      </c>
      <c r="E110" s="347" t="str">
        <f>"(Worksheet A ln "&amp;'WS A - RB Support'!A87&amp;"."&amp;'WS A - RB Support'!F68&amp;")"</f>
        <v>(Worksheet A ln 54.(e))</v>
      </c>
      <c r="F110" s="347"/>
      <c r="G110" s="350">
        <f>-'WS A - RB Support'!F87</f>
        <v>-261585</v>
      </c>
      <c r="H110" s="365"/>
      <c r="I110" s="351" t="s">
        <v>133</v>
      </c>
      <c r="J110" s="352">
        <f>L241</f>
        <v>9.2721123183443332E-2</v>
      </c>
      <c r="K110" s="347"/>
      <c r="L110" s="350">
        <f>G110*J110</f>
        <v>-24254.455007941026</v>
      </c>
      <c r="M110" s="347"/>
    </row>
    <row r="111" spans="2:14">
      <c r="B111" s="356"/>
      <c r="C111" s="357"/>
      <c r="D111" s="400"/>
      <c r="E111" s="347"/>
      <c r="F111" s="347"/>
      <c r="G111" s="365"/>
      <c r="H111" s="579"/>
      <c r="I111" s="351"/>
      <c r="J111" s="347"/>
      <c r="K111" s="347"/>
      <c r="L111" s="365"/>
      <c r="M111" s="347"/>
    </row>
    <row r="112" spans="2:14">
      <c r="B112" s="356">
        <f>+B110+1</f>
        <v>57</v>
      </c>
      <c r="C112" s="357"/>
      <c r="D112" s="400" t="s">
        <v>93</v>
      </c>
      <c r="E112" s="347" t="s">
        <v>499</v>
      </c>
      <c r="F112" s="347"/>
      <c r="G112" s="365"/>
      <c r="H112" s="579"/>
      <c r="I112" s="351"/>
      <c r="J112" s="347"/>
      <c r="K112" s="347"/>
      <c r="L112" s="365"/>
      <c r="M112" s="347"/>
    </row>
    <row r="113" spans="2:13">
      <c r="B113" s="356">
        <f t="shared" ref="B113:B120" si="5">+B112+1</f>
        <v>58</v>
      </c>
      <c r="C113" s="408"/>
      <c r="D113" s="400" t="s">
        <v>205</v>
      </c>
      <c r="E113" s="322" t="str">
        <f>"(1/8 * ln "&amp;B149&amp;")"</f>
        <v>(1/8 * ln 78)</v>
      </c>
      <c r="F113" s="322"/>
      <c r="G113" s="365">
        <f>+G149/8</f>
        <v>5214334.1400000006</v>
      </c>
      <c r="H113" s="347"/>
      <c r="I113" s="351"/>
      <c r="J113" s="409"/>
      <c r="K113" s="347"/>
      <c r="L113" s="365">
        <f>+L149/8</f>
        <v>5090991.0488922084</v>
      </c>
      <c r="M113" s="342"/>
    </row>
    <row r="114" spans="2:13">
      <c r="B114" s="356">
        <f t="shared" si="5"/>
        <v>59</v>
      </c>
      <c r="C114" s="408"/>
      <c r="D114" s="400" t="s">
        <v>336</v>
      </c>
      <c r="E114" s="347" t="s">
        <v>542</v>
      </c>
      <c r="F114" s="347"/>
      <c r="G114" s="365">
        <f>'WS C  - Working Capital'!I17</f>
        <v>2569895</v>
      </c>
      <c r="H114" s="579"/>
      <c r="I114" s="351" t="s">
        <v>121</v>
      </c>
      <c r="J114" s="352">
        <f>L231</f>
        <v>0.97634538029283413</v>
      </c>
      <c r="K114" s="347"/>
      <c r="L114" s="365">
        <f>+J114*G114</f>
        <v>2509105.1110876529</v>
      </c>
      <c r="M114" s="347"/>
    </row>
    <row r="115" spans="2:13">
      <c r="B115" s="356">
        <f t="shared" si="5"/>
        <v>60</v>
      </c>
      <c r="C115" s="408"/>
      <c r="D115" s="400" t="s">
        <v>337</v>
      </c>
      <c r="E115" s="347" t="s">
        <v>543</v>
      </c>
      <c r="F115" s="347"/>
      <c r="G115" s="365">
        <f>'WS C  - Working Capital'!I19</f>
        <v>275238.5</v>
      </c>
      <c r="H115" s="579"/>
      <c r="I115" s="351" t="s">
        <v>133</v>
      </c>
      <c r="J115" s="352">
        <f>L241</f>
        <v>9.2721123183443332E-2</v>
      </c>
      <c r="K115" s="347"/>
      <c r="L115" s="365">
        <f>+J115*G115</f>
        <v>25520.422863326166</v>
      </c>
      <c r="M115" s="347"/>
    </row>
    <row r="116" spans="2:13">
      <c r="B116" s="356">
        <f t="shared" si="5"/>
        <v>61</v>
      </c>
      <c r="C116" s="408"/>
      <c r="D116" s="400" t="s">
        <v>530</v>
      </c>
      <c r="E116" s="347" t="s">
        <v>544</v>
      </c>
      <c r="F116" s="347"/>
      <c r="G116" s="365">
        <f>'WS C  - Working Capital'!I21</f>
        <v>0</v>
      </c>
      <c r="H116" s="579"/>
      <c r="I116" s="351" t="s">
        <v>767</v>
      </c>
      <c r="J116" s="352">
        <f>J75</f>
        <v>0.2239323217623784</v>
      </c>
      <c r="K116" s="347"/>
      <c r="L116" s="365">
        <f>+J116*G116</f>
        <v>0</v>
      </c>
      <c r="M116" s="347"/>
    </row>
    <row r="117" spans="2:13">
      <c r="B117" s="356">
        <f t="shared" si="5"/>
        <v>62</v>
      </c>
      <c r="C117" s="408"/>
      <c r="D117" s="400" t="s">
        <v>209</v>
      </c>
      <c r="E117" s="347" t="s">
        <v>573</v>
      </c>
      <c r="F117" s="347"/>
      <c r="G117" s="365">
        <f>'WS C  - Working Capital'!J31</f>
        <v>220817477.06</v>
      </c>
      <c r="H117" s="579"/>
      <c r="I117" s="351" t="s">
        <v>133</v>
      </c>
      <c r="J117" s="352">
        <f>L241</f>
        <v>9.2721123183443332E-2</v>
      </c>
      <c r="K117" s="347"/>
      <c r="L117" s="365">
        <f>+J117*G117</f>
        <v>20474444.491537433</v>
      </c>
      <c r="M117" s="347"/>
    </row>
    <row r="118" spans="2:13">
      <c r="B118" s="356">
        <f t="shared" si="5"/>
        <v>63</v>
      </c>
      <c r="C118" s="408"/>
      <c r="D118" s="400" t="s">
        <v>210</v>
      </c>
      <c r="E118" s="347" t="s">
        <v>572</v>
      </c>
      <c r="F118" s="347"/>
      <c r="G118" s="365">
        <f>'WS C  - Working Capital'!I31</f>
        <v>4657855.5</v>
      </c>
      <c r="H118" s="579"/>
      <c r="I118" s="351" t="s">
        <v>767</v>
      </c>
      <c r="J118" s="352">
        <f>J75</f>
        <v>0.2239323217623784</v>
      </c>
      <c r="K118" s="347"/>
      <c r="L118" s="365">
        <f>+G118*J118</f>
        <v>1043044.396548664</v>
      </c>
      <c r="M118" s="347"/>
    </row>
    <row r="119" spans="2:13">
      <c r="B119" s="356">
        <f t="shared" si="5"/>
        <v>64</v>
      </c>
      <c r="C119" s="408"/>
      <c r="D119" s="400" t="s">
        <v>306</v>
      </c>
      <c r="E119" s="347" t="s">
        <v>574</v>
      </c>
      <c r="F119" s="347"/>
      <c r="G119" s="365">
        <f>'WS C  - Working Capital'!G31</f>
        <v>0</v>
      </c>
      <c r="H119" s="579"/>
      <c r="I119" s="351" t="s">
        <v>130</v>
      </c>
      <c r="J119" s="352">
        <v>1</v>
      </c>
      <c r="K119" s="347"/>
      <c r="L119" s="365">
        <f>+G119*J119</f>
        <v>0</v>
      </c>
      <c r="M119" s="347"/>
    </row>
    <row r="120" spans="2:13" ht="15.75" thickBot="1">
      <c r="B120" s="356">
        <f t="shared" si="5"/>
        <v>65</v>
      </c>
      <c r="C120" s="408"/>
      <c r="D120" s="400" t="s">
        <v>105</v>
      </c>
      <c r="E120" s="347" t="s">
        <v>575</v>
      </c>
      <c r="F120" s="347"/>
      <c r="G120" s="401">
        <f>'WS C  - Working Capital'!E31</f>
        <v>-213572295.5</v>
      </c>
      <c r="H120" s="365"/>
      <c r="I120" s="351" t="s">
        <v>128</v>
      </c>
      <c r="J120" s="352">
        <v>0</v>
      </c>
      <c r="K120" s="347"/>
      <c r="L120" s="401">
        <f>+G120*J120</f>
        <v>0</v>
      </c>
      <c r="M120" s="347"/>
    </row>
    <row r="121" spans="2:13">
      <c r="B121" s="356">
        <f>+B120+1</f>
        <v>66</v>
      </c>
      <c r="C121" s="408"/>
      <c r="D121" s="400" t="s">
        <v>44</v>
      </c>
      <c r="E121" s="400" t="str">
        <f>"(sum lns "&amp;B113&amp;" to "&amp;B120&amp;")"</f>
        <v>(sum lns 58 to 65)</v>
      </c>
      <c r="F121" s="342"/>
      <c r="G121" s="365">
        <f>SUM(G113:G120)</f>
        <v>19962504.699999988</v>
      </c>
      <c r="H121" s="342"/>
      <c r="I121" s="357"/>
      <c r="J121" s="342"/>
      <c r="K121" s="342"/>
      <c r="L121" s="365">
        <f>SUM(L113:L120)</f>
        <v>29143105.470929284</v>
      </c>
      <c r="M121" s="342"/>
    </row>
    <row r="122" spans="2:13">
      <c r="B122" s="356"/>
      <c r="C122" s="357"/>
      <c r="D122" s="400"/>
      <c r="E122" s="342"/>
      <c r="F122" s="342"/>
      <c r="G122" s="365"/>
      <c r="H122" s="342"/>
      <c r="I122" s="357"/>
      <c r="J122" s="342"/>
      <c r="K122" s="342"/>
      <c r="L122" s="365"/>
      <c r="M122" s="342"/>
    </row>
    <row r="123" spans="2:13">
      <c r="B123" s="356">
        <f>+B121+1</f>
        <v>67</v>
      </c>
      <c r="C123" s="357"/>
      <c r="D123" s="400" t="s">
        <v>31</v>
      </c>
      <c r="E123" s="368" t="s">
        <v>545</v>
      </c>
      <c r="F123" s="342"/>
      <c r="G123" s="365">
        <f>'WS D IPP Credits'!C23</f>
        <v>-2965266</v>
      </c>
      <c r="H123" s="342"/>
      <c r="I123" s="469" t="s">
        <v>130</v>
      </c>
      <c r="J123" s="352">
        <v>1</v>
      </c>
      <c r="K123" s="347"/>
      <c r="L123" s="365">
        <f>+J123*G123</f>
        <v>-2965266</v>
      </c>
      <c r="M123" s="342"/>
    </row>
    <row r="124" spans="2:13" ht="15.75" thickBot="1">
      <c r="B124" s="356"/>
      <c r="C124" s="322"/>
      <c r="D124" s="477"/>
      <c r="E124" s="347"/>
      <c r="F124" s="347"/>
      <c r="G124" s="401"/>
      <c r="H124" s="347"/>
      <c r="I124" s="351"/>
      <c r="J124" s="347"/>
      <c r="K124" s="347"/>
      <c r="L124" s="401"/>
      <c r="M124" s="347"/>
    </row>
    <row r="125" spans="2:13" ht="15.75" thickBot="1">
      <c r="B125" s="356">
        <f>+B123+1</f>
        <v>68</v>
      </c>
      <c r="C125" s="357"/>
      <c r="D125" s="368" t="str">
        <f>"RATE BASE  (sum lns "&amp;B95&amp;", "&amp;B104&amp;", "&amp;B106&amp;", "&amp;B108&amp;", "&amp;B110&amp;", "&amp;B121&amp;", "&amp;B123&amp;")"</f>
        <v>RATE BASE  (sum lns 46, 53, 54, 55, 56, 66, 67)</v>
      </c>
      <c r="E125" s="347"/>
      <c r="F125" s="347"/>
      <c r="G125" s="1117">
        <f>+G121+G106+G104+G95+G123+G108+G110</f>
        <v>6763339716.1538467</v>
      </c>
      <c r="H125" s="347"/>
      <c r="I125" s="347"/>
      <c r="J125" s="409"/>
      <c r="K125" s="347"/>
      <c r="L125" s="1117">
        <f>+L121+L106+L104+L95+L123+L108+L110</f>
        <v>1857636275.4989972</v>
      </c>
      <c r="M125" s="347"/>
    </row>
    <row r="126" spans="2:13" ht="16.5" thickTop="1">
      <c r="B126" s="331"/>
      <c r="C126" s="372"/>
      <c r="D126" s="372"/>
      <c r="E126" s="372"/>
      <c r="F126" s="372"/>
      <c r="G126" s="372"/>
      <c r="H126" s="372"/>
      <c r="I126" s="321"/>
      <c r="J126" s="321"/>
      <c r="K126" s="321"/>
      <c r="L126" s="1082"/>
      <c r="M126" s="322"/>
    </row>
    <row r="127" spans="2:13">
      <c r="B127" s="422"/>
      <c r="C127" s="332"/>
      <c r="D127" s="323"/>
      <c r="E127" s="329"/>
      <c r="F127" s="329"/>
      <c r="G127" s="329"/>
      <c r="H127" s="329"/>
      <c r="I127" s="329"/>
      <c r="J127" s="329"/>
      <c r="K127" s="329"/>
      <c r="L127" s="329"/>
      <c r="M127" s="347"/>
    </row>
    <row r="128" spans="2:13">
      <c r="B128" s="422"/>
      <c r="C128" s="332"/>
      <c r="D128" s="323"/>
      <c r="E128" s="329"/>
      <c r="F128" s="360" t="str">
        <f>F54</f>
        <v xml:space="preserve">AEP East Companies </v>
      </c>
      <c r="G128" s="360"/>
      <c r="H128" s="329"/>
      <c r="I128" s="329"/>
      <c r="J128" s="329"/>
      <c r="K128" s="329"/>
      <c r="L128" s="329"/>
      <c r="M128" s="423"/>
    </row>
    <row r="129" spans="2:14">
      <c r="B129" s="422"/>
      <c r="C129" s="332"/>
      <c r="D129" s="323"/>
      <c r="E129" s="329"/>
      <c r="F129" s="360" t="str">
        <f>F55</f>
        <v>Transmission Cost of Service Formula Rate</v>
      </c>
      <c r="G129" s="360"/>
      <c r="H129" s="329"/>
      <c r="I129" s="329"/>
      <c r="J129" s="329"/>
      <c r="K129" s="329"/>
      <c r="L129" s="329"/>
      <c r="M129" s="423"/>
    </row>
    <row r="130" spans="2:14">
      <c r="B130" s="422"/>
      <c r="C130" s="332"/>
      <c r="E130" s="329"/>
      <c r="F130" s="360" t="str">
        <f>F56</f>
        <v>Utilizing  Actual/Projected FERC Form 1 Data</v>
      </c>
      <c r="G130" s="329"/>
      <c r="H130" s="329"/>
      <c r="I130" s="329"/>
      <c r="J130" s="329"/>
      <c r="K130" s="329"/>
      <c r="L130" s="329"/>
      <c r="M130" s="382"/>
    </row>
    <row r="131" spans="2:14">
      <c r="B131" s="422"/>
      <c r="C131" s="332"/>
      <c r="E131" s="329"/>
      <c r="F131" s="360"/>
      <c r="G131" s="329"/>
      <c r="H131" s="329"/>
      <c r="I131" s="329"/>
      <c r="J131" s="329"/>
      <c r="K131" s="329"/>
      <c r="L131" s="329"/>
      <c r="M131" s="347"/>
    </row>
    <row r="132" spans="2:14">
      <c r="B132" s="422"/>
      <c r="C132" s="332"/>
      <c r="E132" s="424"/>
      <c r="F132" s="360" t="str">
        <f>F58</f>
        <v>Appalachian Power Company</v>
      </c>
      <c r="G132" s="424"/>
      <c r="H132" s="425"/>
      <c r="I132" s="424"/>
      <c r="J132" s="424"/>
      <c r="K132" s="424"/>
      <c r="M132" s="347"/>
    </row>
    <row r="133" spans="2:14">
      <c r="B133" s="422"/>
      <c r="C133" s="332"/>
      <c r="E133" s="424"/>
      <c r="F133" s="360"/>
      <c r="G133" s="424"/>
      <c r="H133" s="425"/>
      <c r="I133" s="424"/>
      <c r="J133" s="424"/>
      <c r="K133" s="424"/>
      <c r="M133" s="347"/>
    </row>
    <row r="134" spans="2:14">
      <c r="B134" s="422"/>
      <c r="D134" s="332" t="s">
        <v>122</v>
      </c>
      <c r="E134" s="332" t="s">
        <v>123</v>
      </c>
      <c r="F134" s="332"/>
      <c r="G134" s="332" t="s">
        <v>124</v>
      </c>
      <c r="H134" s="347"/>
      <c r="I134" s="1393" t="s">
        <v>125</v>
      </c>
      <c r="J134" s="1397"/>
      <c r="K134" s="329"/>
      <c r="L134" s="333" t="s">
        <v>126</v>
      </c>
      <c r="M134" s="347"/>
    </row>
    <row r="135" spans="2:14" ht="15.75">
      <c r="B135" s="422"/>
      <c r="D135" s="332"/>
      <c r="E135" s="332"/>
      <c r="F135" s="332"/>
      <c r="G135" s="332"/>
      <c r="H135" s="347"/>
      <c r="I135" s="329"/>
      <c r="J135" s="384"/>
      <c r="K135" s="329"/>
      <c r="M135" s="347"/>
      <c r="N135" s="427"/>
    </row>
    <row r="136" spans="2:14" ht="15.75">
      <c r="B136" s="422"/>
      <c r="C136" s="332"/>
      <c r="D136" s="428" t="s">
        <v>101</v>
      </c>
      <c r="E136" s="386" t="str">
        <f>E62</f>
        <v>Data Sources</v>
      </c>
      <c r="F136" s="387"/>
      <c r="G136" s="329"/>
      <c r="H136" s="347"/>
      <c r="I136" s="329"/>
      <c r="J136" s="332"/>
      <c r="K136" s="329"/>
      <c r="L136" s="386" t="str">
        <f>L62</f>
        <v>Total</v>
      </c>
      <c r="M136" s="322"/>
      <c r="N136" s="427"/>
    </row>
    <row r="137" spans="2:14" ht="15.75">
      <c r="B137" s="422"/>
      <c r="C137" s="339"/>
      <c r="D137" s="389" t="s">
        <v>102</v>
      </c>
      <c r="E137" s="429" t="str">
        <f>E63</f>
        <v>(See "General Notes")</v>
      </c>
      <c r="F137" s="329"/>
      <c r="G137" s="429" t="str">
        <f>G63</f>
        <v>TO Total</v>
      </c>
      <c r="H137" s="430"/>
      <c r="I137" s="1395" t="str">
        <f>I63</f>
        <v>Allocator</v>
      </c>
      <c r="J137" s="1396"/>
      <c r="K137" s="391"/>
      <c r="L137" s="429" t="str">
        <f>L63</f>
        <v>Transmission</v>
      </c>
      <c r="M137" s="347"/>
      <c r="N137" s="427"/>
    </row>
    <row r="138" spans="2:14" ht="15.75">
      <c r="B138" s="331" t="str">
        <f>B64</f>
        <v>Line</v>
      </c>
      <c r="D138" s="323"/>
      <c r="E138" s="329"/>
      <c r="F138" s="329"/>
      <c r="G138" s="389"/>
      <c r="H138" s="431"/>
      <c r="I138" s="428"/>
      <c r="K138" s="432"/>
      <c r="L138" s="389"/>
      <c r="M138" s="347"/>
    </row>
    <row r="139" spans="2:14">
      <c r="B139" s="331" t="str">
        <f>B65</f>
        <v>No.</v>
      </c>
      <c r="C139" s="332"/>
      <c r="D139" s="323" t="s">
        <v>103</v>
      </c>
      <c r="E139" s="329"/>
      <c r="F139" s="329"/>
      <c r="G139" s="329"/>
      <c r="H139" s="347"/>
      <c r="I139" s="360"/>
      <c r="J139" s="329"/>
      <c r="K139" s="329"/>
      <c r="L139" s="329"/>
      <c r="M139" s="347"/>
    </row>
    <row r="140" spans="2:14">
      <c r="B140" s="331">
        <f>+B125+1</f>
        <v>69</v>
      </c>
      <c r="C140" s="332"/>
      <c r="D140" s="323" t="s">
        <v>127</v>
      </c>
      <c r="E140" s="329" t="s">
        <v>10</v>
      </c>
      <c r="F140" s="329"/>
      <c r="G140" s="843">
        <v>1334476676</v>
      </c>
      <c r="H140" s="347"/>
      <c r="I140" s="360"/>
      <c r="J140" s="352"/>
      <c r="K140" s="329"/>
      <c r="L140" s="365"/>
      <c r="M140" s="347"/>
    </row>
    <row r="141" spans="2:14">
      <c r="B141" s="331">
        <f>+B140+1</f>
        <v>70</v>
      </c>
      <c r="C141" s="332"/>
      <c r="D141" s="368" t="s">
        <v>131</v>
      </c>
      <c r="E141" s="329" t="s">
        <v>11</v>
      </c>
      <c r="F141" s="347"/>
      <c r="G141" s="843">
        <v>202680331</v>
      </c>
      <c r="H141" s="347"/>
      <c r="I141" s="360"/>
      <c r="J141" s="352"/>
      <c r="K141" s="329"/>
      <c r="L141" s="365"/>
      <c r="M141" s="347"/>
    </row>
    <row r="142" spans="2:14">
      <c r="B142" s="331">
        <f t="shared" ref="B142:B147" si="6">+B141+1</f>
        <v>71</v>
      </c>
      <c r="C142" s="332"/>
      <c r="D142" s="368" t="s">
        <v>247</v>
      </c>
      <c r="E142" s="329" t="s">
        <v>203</v>
      </c>
      <c r="F142" s="347"/>
      <c r="G142" s="843">
        <f>40210627+19554374+337960</f>
        <v>60102961</v>
      </c>
      <c r="H142" s="347"/>
      <c r="I142" s="351"/>
      <c r="J142" s="352"/>
      <c r="K142" s="347"/>
      <c r="L142" s="365"/>
      <c r="M142" s="347"/>
    </row>
    <row r="143" spans="2:14">
      <c r="B143" s="331">
        <f t="shared" si="6"/>
        <v>72</v>
      </c>
      <c r="C143" s="332"/>
      <c r="D143" s="368" t="s">
        <v>248</v>
      </c>
      <c r="E143" s="329" t="s">
        <v>418</v>
      </c>
      <c r="F143" s="347"/>
      <c r="G143" s="843">
        <v>6204406</v>
      </c>
      <c r="H143" s="347"/>
      <c r="I143" s="351"/>
      <c r="J143" s="352"/>
      <c r="K143" s="347"/>
      <c r="L143" s="365"/>
      <c r="M143" s="347"/>
    </row>
    <row r="144" spans="2:14" ht="15.75" thickBot="1">
      <c r="B144" s="331">
        <f t="shared" si="6"/>
        <v>73</v>
      </c>
      <c r="C144" s="332"/>
      <c r="D144" s="368" t="s">
        <v>136</v>
      </c>
      <c r="E144" s="329" t="s">
        <v>417</v>
      </c>
      <c r="F144" s="347"/>
      <c r="G144" s="844">
        <v>216981513</v>
      </c>
      <c r="H144" s="365"/>
      <c r="I144" s="372"/>
      <c r="J144" s="372"/>
      <c r="K144" s="334"/>
      <c r="L144" s="334"/>
      <c r="M144" s="342"/>
      <c r="N144" s="329"/>
    </row>
    <row r="145" spans="2:14">
      <c r="B145" s="331">
        <f t="shared" si="6"/>
        <v>74</v>
      </c>
      <c r="C145" s="332"/>
      <c r="D145" s="368" t="s">
        <v>249</v>
      </c>
      <c r="E145" s="347" t="str">
        <f>"(sum lns "&amp;B140&amp;"  to "&amp;B144&amp;")"</f>
        <v>(sum lns 69  to 73)</v>
      </c>
      <c r="F145" s="347"/>
      <c r="G145" s="365">
        <f>SUM(G140:G144)</f>
        <v>1820445887</v>
      </c>
      <c r="H145" s="365"/>
      <c r="I145" s="372"/>
      <c r="J145" s="372"/>
      <c r="K145" s="334"/>
      <c r="L145" s="334"/>
      <c r="M145" s="342"/>
      <c r="N145" s="329"/>
    </row>
    <row r="146" spans="2:14">
      <c r="B146" s="331">
        <f t="shared" si="6"/>
        <v>75</v>
      </c>
      <c r="C146" s="332"/>
      <c r="D146" s="368" t="s">
        <v>329</v>
      </c>
      <c r="E146" s="347" t="str">
        <f>"(Note G) (Worksheet F, ln "&amp;'WS F Misc Exp'!A33&amp;".C)"</f>
        <v>(Note G) (Worksheet F, ln 14.C)</v>
      </c>
      <c r="F146" s="347"/>
      <c r="G146" s="365">
        <f>'WS F Misc Exp'!D33</f>
        <v>11986419.970000001</v>
      </c>
      <c r="H146" s="365"/>
      <c r="I146" s="372"/>
      <c r="J146" s="372"/>
      <c r="K146" s="334"/>
      <c r="L146" s="334"/>
      <c r="M146" s="342"/>
      <c r="N146" s="329"/>
    </row>
    <row r="147" spans="2:14">
      <c r="B147" s="331">
        <f t="shared" si="6"/>
        <v>76</v>
      </c>
      <c r="C147" s="332"/>
      <c r="D147" s="368" t="s">
        <v>23</v>
      </c>
      <c r="E147" s="347" t="s">
        <v>100</v>
      </c>
      <c r="F147" s="347"/>
      <c r="G147" s="843">
        <v>119301838</v>
      </c>
      <c r="H147" s="365"/>
      <c r="I147" s="372"/>
      <c r="J147" s="372"/>
      <c r="K147" s="334"/>
      <c r="L147" s="334"/>
      <c r="M147" s="342"/>
      <c r="N147" s="329"/>
    </row>
    <row r="148" spans="2:14" ht="15.75" thickBot="1">
      <c r="B148" s="331">
        <f>+B147+1</f>
        <v>77</v>
      </c>
      <c r="C148" s="357"/>
      <c r="D148" s="368" t="s">
        <v>333</v>
      </c>
      <c r="E148" s="347" t="s">
        <v>481</v>
      </c>
      <c r="F148" s="347"/>
      <c r="G148" s="401">
        <f>+'WS F Misc Exp'!D21</f>
        <v>43978581.909999996</v>
      </c>
      <c r="H148" s="365"/>
      <c r="I148" s="417"/>
      <c r="J148" s="417"/>
      <c r="K148" s="334"/>
      <c r="L148" s="334"/>
      <c r="M148" s="342"/>
      <c r="N148" s="329"/>
    </row>
    <row r="149" spans="2:14">
      <c r="B149" s="331">
        <f>+B148+1</f>
        <v>78</v>
      </c>
      <c r="C149" s="332"/>
      <c r="D149" s="368" t="s">
        <v>385</v>
      </c>
      <c r="E149" s="329" t="str">
        <f>"(lns "&amp;B144&amp;" - "&amp;B146&amp;" - "&amp;B147&amp;" - "&amp;B148&amp;")"</f>
        <v>(lns 73 - 75 - 76 - 77)</v>
      </c>
      <c r="F149" s="368"/>
      <c r="G149" s="365">
        <f>G144-G146-G147-G148</f>
        <v>41714673.120000005</v>
      </c>
      <c r="H149" s="347"/>
      <c r="I149" s="360" t="s">
        <v>121</v>
      </c>
      <c r="J149" s="352">
        <f>L231</f>
        <v>0.97634538029283413</v>
      </c>
      <c r="K149" s="347"/>
      <c r="L149" s="365">
        <f>+J149*G149</f>
        <v>40727928.391137667</v>
      </c>
      <c r="M149" s="342"/>
      <c r="N149" s="329"/>
    </row>
    <row r="150" spans="2:14">
      <c r="B150" s="331"/>
      <c r="C150" s="332"/>
      <c r="D150" s="368"/>
      <c r="E150" s="347"/>
      <c r="F150" s="347"/>
      <c r="G150" s="433"/>
      <c r="H150" s="365"/>
      <c r="I150" s="372"/>
      <c r="J150" s="372"/>
      <c r="K150" s="334"/>
      <c r="L150" s="334"/>
      <c r="M150" s="342"/>
      <c r="N150" s="329"/>
    </row>
    <row r="151" spans="2:14">
      <c r="B151" s="331">
        <f>+B149+1</f>
        <v>79</v>
      </c>
      <c r="C151" s="332"/>
      <c r="D151" s="323" t="s">
        <v>104</v>
      </c>
      <c r="E151" s="347" t="s">
        <v>758</v>
      </c>
      <c r="F151" s="347"/>
      <c r="G151" s="843">
        <v>100838969</v>
      </c>
      <c r="H151" s="365"/>
      <c r="I151" s="412"/>
      <c r="J151" s="412"/>
      <c r="K151" s="329"/>
      <c r="L151" s="411"/>
      <c r="M151" s="347"/>
      <c r="N151" s="329"/>
    </row>
    <row r="152" spans="2:14">
      <c r="B152" s="331">
        <f t="shared" ref="B152:B165" si="7">+B151+1</f>
        <v>80</v>
      </c>
      <c r="C152" s="332"/>
      <c r="D152" s="368" t="s">
        <v>331</v>
      </c>
      <c r="E152" s="329" t="s">
        <v>419</v>
      </c>
      <c r="F152" s="329"/>
      <c r="G152" s="843">
        <v>3492688</v>
      </c>
      <c r="H152" s="365"/>
      <c r="I152" s="412"/>
      <c r="J152" s="323"/>
      <c r="K152" s="329"/>
      <c r="L152" s="411"/>
      <c r="M152" s="415"/>
      <c r="N152" s="329"/>
    </row>
    <row r="153" spans="2:14">
      <c r="B153" s="331">
        <f t="shared" si="7"/>
        <v>81</v>
      </c>
      <c r="C153" s="332"/>
      <c r="D153" s="1248" t="s">
        <v>871</v>
      </c>
      <c r="E153" s="347" t="str">
        <f>"PBOP Worksheet O Line "&amp;'WS O - PBOP'!A37&amp;" &amp; "&amp;'WS O - PBOP'!A39&amp;", (Note K)"</f>
        <v>PBOP Worksheet O Line 9 &amp; 10, (Note K)</v>
      </c>
      <c r="F153" s="329"/>
      <c r="G153" s="1249">
        <f>'WS O - PBOP'!D37+'WS O - PBOP'!D39</f>
        <v>-15991358</v>
      </c>
      <c r="H153" s="365"/>
      <c r="I153" s="412"/>
      <c r="J153" s="323"/>
      <c r="K153" s="329"/>
      <c r="L153" s="411"/>
      <c r="M153" s="415"/>
      <c r="N153" s="329"/>
    </row>
    <row r="154" spans="2:14">
      <c r="B154" s="331">
        <f t="shared" si="7"/>
        <v>82</v>
      </c>
      <c r="C154" s="332"/>
      <c r="D154" s="368" t="s">
        <v>872</v>
      </c>
      <c r="E154" s="347" t="str">
        <f>"PBOP Worksheet O  Line "&amp;'WS O - PBOP'!A41&amp;", (Note K)"</f>
        <v>PBOP Worksheet O  Line 11, (Note K)</v>
      </c>
      <c r="F154" s="329"/>
      <c r="G154" s="1249">
        <f>'WS O - PBOP'!D41</f>
        <v>0</v>
      </c>
      <c r="H154" s="365"/>
      <c r="I154" s="412"/>
      <c r="J154" s="323"/>
      <c r="K154" s="329"/>
      <c r="L154" s="411"/>
      <c r="M154" s="415"/>
      <c r="N154" s="329"/>
    </row>
    <row r="155" spans="2:14">
      <c r="B155" s="331">
        <f t="shared" si="7"/>
        <v>83</v>
      </c>
      <c r="C155" s="332"/>
      <c r="D155" s="368" t="s">
        <v>873</v>
      </c>
      <c r="E155" s="347" t="str">
        <f>"PBOP Worksheet O Line "&amp;'WS O - PBOP'!A45&amp;", (Note K)"</f>
        <v>PBOP Worksheet O Line 13, (Note K)</v>
      </c>
      <c r="F155" s="329"/>
      <c r="G155" s="1249">
        <f>'WS O - PBOP'!D45</f>
        <v>-5251875</v>
      </c>
      <c r="H155" s="365"/>
      <c r="I155" s="412"/>
      <c r="J155" s="323"/>
      <c r="K155" s="329"/>
      <c r="L155" s="411"/>
      <c r="M155" s="415"/>
      <c r="N155" s="329"/>
    </row>
    <row r="156" spans="2:14">
      <c r="B156" s="331">
        <f t="shared" si="7"/>
        <v>84</v>
      </c>
      <c r="C156" s="332"/>
      <c r="D156" s="323" t="s">
        <v>330</v>
      </c>
      <c r="E156" s="329" t="s">
        <v>96</v>
      </c>
      <c r="F156" s="347"/>
      <c r="G156" s="843">
        <v>5156866</v>
      </c>
      <c r="H156" s="365"/>
      <c r="I156" s="412"/>
      <c r="J156" s="434"/>
      <c r="K156" s="329"/>
      <c r="L156" s="411"/>
      <c r="M156" s="347"/>
      <c r="N156" s="329"/>
    </row>
    <row r="157" spans="2:14">
      <c r="B157" s="331">
        <f t="shared" si="7"/>
        <v>85</v>
      </c>
      <c r="C157" s="332"/>
      <c r="D157" s="368" t="s">
        <v>108</v>
      </c>
      <c r="E157" s="329" t="s">
        <v>97</v>
      </c>
      <c r="F157" s="347"/>
      <c r="G157" s="843">
        <v>815338</v>
      </c>
      <c r="H157" s="365"/>
      <c r="I157" s="412"/>
      <c r="J157" s="412"/>
      <c r="K157" s="329"/>
      <c r="L157" s="411"/>
      <c r="M157" s="347"/>
      <c r="N157" s="329"/>
    </row>
    <row r="158" spans="2:14" ht="15.75" thickBot="1">
      <c r="B158" s="331">
        <f t="shared" si="7"/>
        <v>86</v>
      </c>
      <c r="C158" s="332"/>
      <c r="D158" s="368" t="s">
        <v>332</v>
      </c>
      <c r="E158" s="329" t="s">
        <v>98</v>
      </c>
      <c r="F158" s="347"/>
      <c r="G158" s="844">
        <v>5945804</v>
      </c>
      <c r="H158" s="365"/>
      <c r="I158" s="412"/>
      <c r="J158" s="412"/>
      <c r="K158" s="329"/>
      <c r="L158" s="411"/>
      <c r="M158" s="347"/>
      <c r="N158" s="329"/>
    </row>
    <row r="159" spans="2:14">
      <c r="B159" s="331">
        <f t="shared" si="7"/>
        <v>87</v>
      </c>
      <c r="C159" s="332"/>
      <c r="D159" s="323" t="s">
        <v>109</v>
      </c>
      <c r="E159" s="347" t="str">
        <f>"(ln "&amp;B151&amp;" - sum ln "&amp;B152&amp;"  to ln "&amp;B158&amp;")"</f>
        <v>(ln 79 - sum ln 80  to ln 86)</v>
      </c>
      <c r="F159" s="347"/>
      <c r="G159" s="365">
        <f>G151-SUM(G152:G158)</f>
        <v>106671506</v>
      </c>
      <c r="H159" s="365"/>
      <c r="I159" s="360" t="s">
        <v>133</v>
      </c>
      <c r="J159" s="352">
        <f>L241</f>
        <v>9.2721123183443332E-2</v>
      </c>
      <c r="K159" s="329"/>
      <c r="L159" s="411">
        <f>+J159*G159</f>
        <v>9890701.8479894139</v>
      </c>
      <c r="M159" s="347"/>
      <c r="N159" s="329"/>
    </row>
    <row r="160" spans="2:14">
      <c r="B160" s="331">
        <f t="shared" si="7"/>
        <v>88</v>
      </c>
      <c r="C160" s="357"/>
      <c r="D160" s="368" t="s">
        <v>198</v>
      </c>
      <c r="E160" s="347" t="str">
        <f>"(ln "&amp;B152&amp;")"</f>
        <v>(ln 80)</v>
      </c>
      <c r="F160" s="347"/>
      <c r="G160" s="365">
        <f>+G152</f>
        <v>3492688</v>
      </c>
      <c r="H160" s="365"/>
      <c r="I160" s="360" t="s">
        <v>767</v>
      </c>
      <c r="J160" s="352">
        <f>J75</f>
        <v>0.2239323217623784</v>
      </c>
      <c r="K160" s="347"/>
      <c r="L160" s="365">
        <f>+J160*G160</f>
        <v>782125.73303159792</v>
      </c>
      <c r="M160" s="347"/>
      <c r="N160" s="329"/>
    </row>
    <row r="161" spans="2:14">
      <c r="B161" s="331">
        <f t="shared" si="7"/>
        <v>89</v>
      </c>
      <c r="C161" s="332"/>
      <c r="D161" s="368" t="s">
        <v>231</v>
      </c>
      <c r="E161" s="347" t="str">
        <f>"Worksheet F ln "&amp;'WS F Misc Exp'!A41&amp;".(E) (Note L)"</f>
        <v>Worksheet F ln 20.(E) (Note L)</v>
      </c>
      <c r="F161" s="347"/>
      <c r="G161" s="365">
        <f>+'WS F Misc Exp'!F41</f>
        <v>91168.320000000007</v>
      </c>
      <c r="H161" s="365"/>
      <c r="I161" s="360" t="s">
        <v>121</v>
      </c>
      <c r="J161" s="352">
        <f>L231</f>
        <v>0.97634538029283413</v>
      </c>
      <c r="K161" s="329"/>
      <c r="L161" s="411">
        <f>J161*G161</f>
        <v>89011.7680610588</v>
      </c>
      <c r="M161" s="347"/>
      <c r="N161" s="329"/>
    </row>
    <row r="162" spans="2:14">
      <c r="B162" s="331">
        <f t="shared" si="7"/>
        <v>90</v>
      </c>
      <c r="C162" s="332"/>
      <c r="D162" s="368" t="s">
        <v>241</v>
      </c>
      <c r="E162" s="347" t="str">
        <f>"Worksheet F ln "&amp;'WS F Misc Exp'!A61&amp;".(E) (Note L)"</f>
        <v>Worksheet F ln 37.(E) (Note L)</v>
      </c>
      <c r="F162" s="347"/>
      <c r="G162" s="350">
        <f>+'WS F Misc Exp'!F61</f>
        <v>0</v>
      </c>
      <c r="H162" s="347"/>
      <c r="I162" s="351" t="s">
        <v>121</v>
      </c>
      <c r="J162" s="352">
        <f>L231</f>
        <v>0.97634538029283413</v>
      </c>
      <c r="K162" s="329"/>
      <c r="L162" s="411">
        <f>+J162*G162</f>
        <v>0</v>
      </c>
      <c r="M162" s="347"/>
      <c r="N162" s="329"/>
    </row>
    <row r="163" spans="2:14">
      <c r="B163" s="331">
        <f t="shared" si="7"/>
        <v>91</v>
      </c>
      <c r="C163" s="332"/>
      <c r="D163" s="368" t="s">
        <v>242</v>
      </c>
      <c r="E163" s="347" t="str">
        <f>"Worksheet F ln "&amp;'WS F Misc Exp'!A70&amp;".(E) (Note L)"</f>
        <v>Worksheet F ln 43.(E) (Note L)</v>
      </c>
      <c r="F163" s="347"/>
      <c r="G163" s="350">
        <f>+'WS F Misc Exp'!F70</f>
        <v>2529409</v>
      </c>
      <c r="H163" s="435"/>
      <c r="I163" s="351" t="s">
        <v>130</v>
      </c>
      <c r="J163" s="352">
        <v>1</v>
      </c>
      <c r="K163" s="329"/>
      <c r="L163" s="436">
        <f>+J163*G163</f>
        <v>2529409</v>
      </c>
      <c r="M163" s="347"/>
      <c r="N163" s="329"/>
    </row>
    <row r="164" spans="2:14" ht="15.75" thickBot="1">
      <c r="B164" s="331">
        <f t="shared" si="7"/>
        <v>92</v>
      </c>
      <c r="C164" s="332"/>
      <c r="D164" s="368" t="s">
        <v>874</v>
      </c>
      <c r="E164" s="347" t="s">
        <v>876</v>
      </c>
      <c r="F164" s="347"/>
      <c r="G164" s="401">
        <f>'WS O - PBOP'!E22</f>
        <v>-46793855</v>
      </c>
      <c r="H164" s="435"/>
      <c r="I164" s="360" t="s">
        <v>133</v>
      </c>
      <c r="J164" s="352">
        <f>L241</f>
        <v>9.2721123183443332E-2</v>
      </c>
      <c r="K164" s="329"/>
      <c r="L164" s="420">
        <f>+J164*G164</f>
        <v>-4338778.7936831852</v>
      </c>
      <c r="M164" s="347"/>
      <c r="N164" s="329"/>
    </row>
    <row r="165" spans="2:14">
      <c r="B165" s="331">
        <f t="shared" si="7"/>
        <v>93</v>
      </c>
      <c r="C165" s="332"/>
      <c r="D165" s="323" t="s">
        <v>110</v>
      </c>
      <c r="E165" s="347" t="str">
        <f>"(sum lns "&amp;B159&amp;"  to "&amp;B164&amp;")"</f>
        <v>(sum lns 87  to 92)</v>
      </c>
      <c r="F165" s="347"/>
      <c r="G165" s="411">
        <f>SUM(G159:G164)</f>
        <v>65990916.319999993</v>
      </c>
      <c r="H165" s="365"/>
      <c r="I165" s="360"/>
      <c r="J165" s="412"/>
      <c r="K165" s="329"/>
      <c r="L165" s="411">
        <f>SUM(L159:L164)</f>
        <v>8952469.5553988852</v>
      </c>
      <c r="M165" s="347"/>
      <c r="N165" s="329"/>
    </row>
    <row r="166" spans="2:14" ht="15.75" thickBot="1">
      <c r="B166" s="331"/>
      <c r="C166" s="332"/>
      <c r="D166" s="368"/>
      <c r="E166" s="347"/>
      <c r="F166" s="347"/>
      <c r="G166" s="401"/>
      <c r="H166" s="347"/>
      <c r="I166" s="360"/>
      <c r="J166" s="412"/>
      <c r="K166" s="329"/>
      <c r="L166" s="420"/>
      <c r="M166" s="347"/>
      <c r="N166" s="329"/>
    </row>
    <row r="167" spans="2:14">
      <c r="B167" s="331">
        <f>+B165+1</f>
        <v>94</v>
      </c>
      <c r="C167" s="357"/>
      <c r="D167" s="368" t="s">
        <v>415</v>
      </c>
      <c r="E167" s="347" t="str">
        <f>"(ln "&amp;B149&amp;" + ln "&amp;B165&amp;")"</f>
        <v>(ln 78 + ln 93)</v>
      </c>
      <c r="F167" s="347"/>
      <c r="G167" s="365">
        <f>+G149+G165</f>
        <v>107705589.44</v>
      </c>
      <c r="H167" s="365"/>
      <c r="I167" s="351"/>
      <c r="J167" s="347"/>
      <c r="K167" s="347"/>
      <c r="L167" s="365">
        <f>L149+L165</f>
        <v>49680397.946536556</v>
      </c>
      <c r="M167" s="347"/>
      <c r="N167" s="329"/>
    </row>
    <row r="168" spans="2:14" ht="15.75" thickBot="1">
      <c r="B168" s="331">
        <f>+B167+1</f>
        <v>95</v>
      </c>
      <c r="C168" s="357"/>
      <c r="D168" s="368" t="s">
        <v>487</v>
      </c>
      <c r="E168" s="368"/>
      <c r="F168" s="347"/>
      <c r="G168" s="844">
        <v>0</v>
      </c>
      <c r="H168" s="365"/>
      <c r="I168" s="360" t="s">
        <v>130</v>
      </c>
      <c r="J168" s="352">
        <v>1</v>
      </c>
      <c r="K168" s="347"/>
      <c r="L168" s="420">
        <f>J168*G168</f>
        <v>0</v>
      </c>
      <c r="M168" s="347"/>
      <c r="N168" s="329"/>
    </row>
    <row r="169" spans="2:14">
      <c r="B169" s="331">
        <f>+B168+1</f>
        <v>96</v>
      </c>
      <c r="C169" s="332"/>
      <c r="D169" s="368" t="s">
        <v>111</v>
      </c>
      <c r="E169" s="347" t="str">
        <f>"(ln "&amp;B167&amp;" + ln "&amp;B168&amp;")"</f>
        <v>(ln 94 + ln 95)</v>
      </c>
      <c r="F169" s="347"/>
      <c r="G169" s="365">
        <f>+G167+G168</f>
        <v>107705589.44</v>
      </c>
      <c r="H169" s="365"/>
      <c r="I169" s="351"/>
      <c r="J169" s="347"/>
      <c r="K169" s="347"/>
      <c r="L169" s="365">
        <f>+L167+L168</f>
        <v>49680397.946536556</v>
      </c>
      <c r="M169" s="347"/>
      <c r="N169" s="329"/>
    </row>
    <row r="170" spans="2:14">
      <c r="B170" s="331"/>
      <c r="C170" s="332"/>
      <c r="D170" s="368"/>
      <c r="E170" s="329"/>
      <c r="F170" s="329"/>
      <c r="G170" s="411"/>
      <c r="H170" s="347"/>
      <c r="I170" s="329"/>
      <c r="J170" s="329"/>
      <c r="K170" s="329"/>
      <c r="L170" s="411"/>
      <c r="M170" s="347"/>
      <c r="N170" s="329"/>
    </row>
    <row r="171" spans="2:14">
      <c r="B171" s="331">
        <f>+B169+1</f>
        <v>97</v>
      </c>
      <c r="C171" s="332"/>
      <c r="D171" s="393" t="s">
        <v>114</v>
      </c>
      <c r="E171" s="351"/>
      <c r="F171" s="351"/>
      <c r="G171" s="411"/>
      <c r="H171" s="347"/>
      <c r="I171" s="360"/>
      <c r="J171" s="329"/>
      <c r="K171" s="329"/>
      <c r="L171" s="411"/>
      <c r="M171" s="347"/>
      <c r="N171" s="329"/>
    </row>
    <row r="172" spans="2:14">
      <c r="B172" s="331">
        <f t="shared" ref="B172:B177" si="8">+B171+1</f>
        <v>98</v>
      </c>
      <c r="C172" s="332"/>
      <c r="D172" s="323" t="s">
        <v>127</v>
      </c>
      <c r="E172" s="346" t="s">
        <v>425</v>
      </c>
      <c r="F172" s="351"/>
      <c r="G172" s="843">
        <f>177802566+3444452+2780989+13428455</f>
        <v>197456462</v>
      </c>
      <c r="H172" s="347"/>
      <c r="I172" s="360" t="s">
        <v>128</v>
      </c>
      <c r="J172" s="352">
        <v>0</v>
      </c>
      <c r="K172" s="329"/>
      <c r="L172" s="365">
        <f>+G172*J172</f>
        <v>0</v>
      </c>
      <c r="M172" s="347"/>
      <c r="N172" s="329"/>
    </row>
    <row r="173" spans="2:14">
      <c r="B173" s="331">
        <f t="shared" si="8"/>
        <v>99</v>
      </c>
      <c r="C173" s="332"/>
      <c r="D173" s="368" t="s">
        <v>131</v>
      </c>
      <c r="E173" s="346" t="s">
        <v>424</v>
      </c>
      <c r="F173" s="351"/>
      <c r="G173" s="843">
        <v>143254449</v>
      </c>
      <c r="H173" s="347"/>
      <c r="I173" s="360" t="s">
        <v>128</v>
      </c>
      <c r="J173" s="352">
        <v>0</v>
      </c>
      <c r="K173" s="329"/>
      <c r="L173" s="365">
        <f>+G173*J173</f>
        <v>0</v>
      </c>
      <c r="M173" s="347"/>
      <c r="N173" s="329"/>
    </row>
    <row r="174" spans="2:14">
      <c r="B174" s="331">
        <f t="shared" si="8"/>
        <v>100</v>
      </c>
      <c r="C174" s="332"/>
      <c r="D174" s="395" t="str">
        <f>+D144</f>
        <v xml:space="preserve">  Transmission </v>
      </c>
      <c r="E174" s="346" t="s">
        <v>420</v>
      </c>
      <c r="F174" s="437"/>
      <c r="G174" s="843">
        <v>52714082</v>
      </c>
      <c r="H174" s="438"/>
      <c r="I174" s="439" t="s">
        <v>26</v>
      </c>
      <c r="J174" s="352">
        <f>J80</f>
        <v>0.9714927541895283</v>
      </c>
      <c r="K174" s="440"/>
      <c r="L174" s="441">
        <f>J174*G174</f>
        <v>51211348.706752636</v>
      </c>
      <c r="M174" s="398"/>
      <c r="N174" s="329"/>
    </row>
    <row r="175" spans="2:14">
      <c r="B175" s="331">
        <f>+B174+1</f>
        <v>101</v>
      </c>
      <c r="C175" s="332"/>
      <c r="D175" s="393" t="s">
        <v>137</v>
      </c>
      <c r="E175" s="437" t="s">
        <v>421</v>
      </c>
      <c r="F175" s="329"/>
      <c r="G175" s="843">
        <v>5651442</v>
      </c>
      <c r="H175" s="365"/>
      <c r="I175" s="360" t="s">
        <v>133</v>
      </c>
      <c r="J175" s="352">
        <f>L241</f>
        <v>9.2721123183443332E-2</v>
      </c>
      <c r="K175" s="329"/>
      <c r="L175" s="411">
        <f>+J175*G175</f>
        <v>524008.04984608537</v>
      </c>
      <c r="M175" s="347"/>
      <c r="N175" s="329"/>
    </row>
    <row r="176" spans="2:14" ht="15.75" thickBot="1">
      <c r="B176" s="331">
        <f t="shared" si="8"/>
        <v>102</v>
      </c>
      <c r="C176" s="332"/>
      <c r="D176" s="393" t="s">
        <v>138</v>
      </c>
      <c r="E176" s="396" t="s">
        <v>422</v>
      </c>
      <c r="F176" s="347"/>
      <c r="G176" s="844">
        <v>25543163</v>
      </c>
      <c r="H176" s="365"/>
      <c r="I176" s="360" t="s">
        <v>133</v>
      </c>
      <c r="J176" s="352">
        <f>L241</f>
        <v>9.2721123183443332E-2</v>
      </c>
      <c r="K176" s="329"/>
      <c r="L176" s="420">
        <f>+J176*G176</f>
        <v>2368390.7630177718</v>
      </c>
      <c r="M176" s="347"/>
      <c r="N176" s="329"/>
    </row>
    <row r="177" spans="2:14">
      <c r="B177" s="331">
        <f t="shared" si="8"/>
        <v>103</v>
      </c>
      <c r="C177" s="332"/>
      <c r="D177" s="393" t="s">
        <v>302</v>
      </c>
      <c r="E177" s="1390" t="str">
        <f>"(Ln "&amp;B172&amp;"+"&amp;B173&amp;"+
"&amp;B174&amp;"+"&amp;B175&amp;"+"&amp;B176&amp;")"</f>
        <v>(Ln 98+99+
100+101+102)</v>
      </c>
      <c r="F177" s="329"/>
      <c r="G177" s="365">
        <f>+G172+G173+G174+G175+G176</f>
        <v>424619598</v>
      </c>
      <c r="H177" s="347"/>
      <c r="I177" s="360"/>
      <c r="J177" s="329"/>
      <c r="K177" s="329"/>
      <c r="L177" s="365">
        <f>+L172+L173+L174+L175+L176</f>
        <v>54103747.519616492</v>
      </c>
      <c r="M177" s="347"/>
      <c r="N177" s="329"/>
    </row>
    <row r="178" spans="2:14">
      <c r="B178" s="331"/>
      <c r="C178" s="332"/>
      <c r="D178" s="393"/>
      <c r="E178" s="1391"/>
      <c r="F178" s="329"/>
      <c r="G178" s="411"/>
      <c r="H178" s="347"/>
      <c r="I178" s="360"/>
      <c r="J178" s="329"/>
      <c r="K178" s="329"/>
      <c r="L178" s="411"/>
      <c r="M178" s="347"/>
      <c r="N178" s="329"/>
    </row>
    <row r="179" spans="2:14">
      <c r="B179" s="331">
        <f>+B177+1</f>
        <v>104</v>
      </c>
      <c r="C179" s="332"/>
      <c r="D179" s="393" t="s">
        <v>32</v>
      </c>
      <c r="E179" s="322" t="s">
        <v>423</v>
      </c>
      <c r="G179" s="411"/>
      <c r="H179" s="347"/>
      <c r="I179" s="360"/>
      <c r="J179" s="329"/>
      <c r="K179" s="329"/>
      <c r="L179" s="411"/>
      <c r="M179" s="347"/>
      <c r="N179" s="329"/>
    </row>
    <row r="180" spans="2:14">
      <c r="B180" s="331">
        <f t="shared" ref="B180:B185" si="9">+B179+1</f>
        <v>105</v>
      </c>
      <c r="C180" s="332"/>
      <c r="D180" s="393" t="s">
        <v>139</v>
      </c>
      <c r="G180" s="411"/>
      <c r="H180" s="347"/>
      <c r="I180" s="360"/>
      <c r="K180" s="329"/>
      <c r="L180" s="411"/>
      <c r="M180" s="347"/>
      <c r="N180" s="329"/>
    </row>
    <row r="181" spans="2:14">
      <c r="B181" s="331">
        <f t="shared" si="9"/>
        <v>106</v>
      </c>
      <c r="C181" s="332"/>
      <c r="D181" s="393" t="s">
        <v>140</v>
      </c>
      <c r="E181" s="347" t="str">
        <f>"Worksheet H ln "&amp;'WS H Other Taxes'!A43&amp;"."&amp;'WS H Other Taxes'!I10&amp;""</f>
        <v>Worksheet H ln 24.(D)</v>
      </c>
      <c r="F181" s="329"/>
      <c r="G181" s="365">
        <f>+'WS H Other Taxes'!I43</f>
        <v>9042366</v>
      </c>
      <c r="H181" s="365"/>
      <c r="I181" s="360" t="s">
        <v>133</v>
      </c>
      <c r="J181" s="352">
        <f>L241</f>
        <v>9.2721123183443332E-2</v>
      </c>
      <c r="K181" s="329"/>
      <c r="L181" s="411">
        <f>+J181*G181</f>
        <v>838418.3317557798</v>
      </c>
      <c r="M181" s="416"/>
      <c r="N181" s="329"/>
    </row>
    <row r="182" spans="2:14">
      <c r="B182" s="331">
        <f t="shared" si="9"/>
        <v>107</v>
      </c>
      <c r="C182" s="332"/>
      <c r="D182" s="393" t="s">
        <v>141</v>
      </c>
      <c r="E182" s="347" t="s">
        <v>115</v>
      </c>
      <c r="F182" s="329"/>
      <c r="G182" s="365"/>
      <c r="H182" s="365"/>
      <c r="I182" s="360"/>
      <c r="K182" s="329"/>
      <c r="L182" s="411"/>
      <c r="M182" s="347"/>
      <c r="N182" s="329"/>
    </row>
    <row r="183" spans="2:14">
      <c r="B183" s="331">
        <f t="shared" si="9"/>
        <v>108</v>
      </c>
      <c r="C183" s="357"/>
      <c r="D183" s="400" t="s">
        <v>142</v>
      </c>
      <c r="E183" s="347" t="str">
        <f>"Worksheet H-1 ln "&amp;'WS H-1-Detail of Tax Amts'!A25&amp;"."&amp;'WS H-1-Detail of Tax Amts'!E22&amp;" &amp; " &amp; 'WS H-1-Detail of Tax Amts'!A25&amp;"."&amp;'WS H-1-Detail of Tax Amts'!I22</f>
        <v>Worksheet H-1 ln 3.(C) &amp; 3.(G)</v>
      </c>
      <c r="F183" s="347"/>
      <c r="G183" s="365">
        <f>+'WS H Other Taxes'!G43</f>
        <v>74324513</v>
      </c>
      <c r="H183" s="365"/>
      <c r="I183" s="351" t="s">
        <v>130</v>
      </c>
      <c r="J183" s="352"/>
      <c r="K183" s="347"/>
      <c r="L183" s="423">
        <f>'WS H-1-Detail of Tax Amts'!I25</f>
        <v>26302395.242989961</v>
      </c>
      <c r="M183" s="442"/>
      <c r="N183" s="347"/>
    </row>
    <row r="184" spans="2:14">
      <c r="B184" s="331">
        <f t="shared" si="9"/>
        <v>109</v>
      </c>
      <c r="C184" s="332"/>
      <c r="D184" s="393" t="s">
        <v>201</v>
      </c>
      <c r="E184" s="347" t="str">
        <f>"Worksheet H ln "&amp;'WS H Other Taxes'!A43&amp;"."&amp;'WS H Other Taxes'!M10&amp;""</f>
        <v>Worksheet H ln 24.(F)</v>
      </c>
      <c r="F184" s="329"/>
      <c r="G184" s="365">
        <f>+'WS H Other Taxes'!M43</f>
        <v>34856495</v>
      </c>
      <c r="H184" s="417"/>
      <c r="I184" s="360" t="s">
        <v>128</v>
      </c>
      <c r="J184" s="352">
        <v>0</v>
      </c>
      <c r="K184" s="329"/>
      <c r="L184" s="411">
        <f>+J184*G184</f>
        <v>0</v>
      </c>
      <c r="M184" s="347"/>
      <c r="N184" s="329"/>
    </row>
    <row r="185" spans="2:14" ht="15.75" thickBot="1">
      <c r="B185" s="331">
        <f t="shared" si="9"/>
        <v>110</v>
      </c>
      <c r="C185" s="332"/>
      <c r="D185" s="393" t="s">
        <v>143</v>
      </c>
      <c r="E185" s="347" t="str">
        <f>"Worksheet H ln "&amp;'WS H Other Taxes'!A43&amp;"."&amp;'WS H Other Taxes'!K10&amp;""</f>
        <v>Worksheet H ln 24.(E)</v>
      </c>
      <c r="F185" s="329"/>
      <c r="G185" s="401">
        <f>+'WS H Other Taxes'!K43</f>
        <v>16445922</v>
      </c>
      <c r="H185" s="417"/>
      <c r="I185" s="360" t="s">
        <v>767</v>
      </c>
      <c r="J185" s="352">
        <f>J75</f>
        <v>0.2239323217623784</v>
      </c>
      <c r="K185" s="329"/>
      <c r="L185" s="420">
        <f>+J185*G185</f>
        <v>3682773.4969829777</v>
      </c>
      <c r="M185" s="347"/>
      <c r="N185" s="329"/>
    </row>
    <row r="186" spans="2:14">
      <c r="B186" s="331">
        <f>+B185+1</f>
        <v>111</v>
      </c>
      <c r="C186" s="332"/>
      <c r="D186" s="393" t="s">
        <v>33</v>
      </c>
      <c r="E186" s="359" t="str">
        <f>"(sum lns "&amp;B181&amp;" to "&amp;B185&amp;")"</f>
        <v>(sum lns 106 to 110)</v>
      </c>
      <c r="F186" s="329"/>
      <c r="G186" s="365">
        <f>SUM(G181:G185)</f>
        <v>134669296</v>
      </c>
      <c r="H186" s="347"/>
      <c r="I186" s="360"/>
      <c r="J186" s="443"/>
      <c r="K186" s="329"/>
      <c r="L186" s="411">
        <f>SUM(L181:L185)</f>
        <v>30823587.071728718</v>
      </c>
      <c r="M186" s="347"/>
      <c r="N186" s="329"/>
    </row>
    <row r="187" spans="2:14">
      <c r="B187" s="331"/>
      <c r="C187" s="332"/>
      <c r="D187" s="393"/>
      <c r="E187" s="329"/>
      <c r="F187" s="329"/>
      <c r="G187" s="329"/>
      <c r="H187" s="347"/>
      <c r="I187" s="360"/>
      <c r="J187" s="443"/>
      <c r="K187" s="329"/>
      <c r="L187" s="329"/>
      <c r="M187" s="414"/>
      <c r="N187" s="329"/>
    </row>
    <row r="188" spans="2:14">
      <c r="B188" s="331">
        <f>+B186+1</f>
        <v>112</v>
      </c>
      <c r="C188" s="332"/>
      <c r="D188" s="393" t="s">
        <v>338</v>
      </c>
      <c r="E188" s="347" t="s">
        <v>426</v>
      </c>
      <c r="F188" s="444"/>
      <c r="G188" s="329"/>
      <c r="H188" s="372"/>
      <c r="I188" s="424"/>
      <c r="K188" s="329"/>
      <c r="L188" s="445"/>
      <c r="M188" s="347"/>
      <c r="N188" s="329"/>
    </row>
    <row r="189" spans="2:14">
      <c r="B189" s="331">
        <f t="shared" ref="B189:B196" si="10">+B188+1</f>
        <v>113</v>
      </c>
      <c r="C189" s="332"/>
      <c r="D189" s="446" t="s">
        <v>339</v>
      </c>
      <c r="E189" s="329"/>
      <c r="F189" s="447"/>
      <c r="G189" s="448">
        <f>IF(F338&gt;0,1-(((1-F339)*(1-F338))/(1-F339*F338*F340)),0)</f>
        <v>0.23962499999999998</v>
      </c>
      <c r="H189" s="449"/>
      <c r="I189" s="449"/>
      <c r="K189" s="450"/>
      <c r="L189" s="445"/>
      <c r="M189" s="347"/>
      <c r="N189" s="329"/>
    </row>
    <row r="190" spans="2:14">
      <c r="B190" s="331">
        <f t="shared" si="10"/>
        <v>114</v>
      </c>
      <c r="C190" s="332"/>
      <c r="D190" s="355" t="s">
        <v>340</v>
      </c>
      <c r="E190" s="329"/>
      <c r="F190" s="447"/>
      <c r="G190" s="448">
        <f>IF(L255&gt;0,($G189/(1-$G189))*(1-$L255/$L258),0)</f>
        <v>0.21359294988851044</v>
      </c>
      <c r="H190" s="449"/>
      <c r="I190" s="449"/>
      <c r="K190" s="450"/>
      <c r="L190" s="445"/>
      <c r="M190" s="347"/>
      <c r="N190" s="329"/>
    </row>
    <row r="191" spans="2:14">
      <c r="B191" s="331">
        <f t="shared" si="10"/>
        <v>115</v>
      </c>
      <c r="C191" s="332"/>
      <c r="D191" s="400" t="str">
        <f>"       where WCLTD=(ln "&amp;B255&amp;") and WACC = (ln "&amp;B258&amp;")"</f>
        <v xml:space="preserve">       where WCLTD=(ln 154) and WACC = (ln 157)</v>
      </c>
      <c r="E191" s="347"/>
      <c r="F191" s="451"/>
      <c r="G191" s="329"/>
      <c r="H191" s="449"/>
      <c r="I191" s="449"/>
      <c r="J191" s="452"/>
      <c r="K191" s="450"/>
      <c r="L191" s="453"/>
      <c r="M191" s="347"/>
      <c r="N191" s="329"/>
    </row>
    <row r="192" spans="2:14">
      <c r="B192" s="331">
        <f t="shared" si="10"/>
        <v>116</v>
      </c>
      <c r="C192" s="332"/>
      <c r="D192" s="393" t="s">
        <v>429</v>
      </c>
      <c r="E192" s="454"/>
      <c r="F192" s="447"/>
      <c r="G192" s="329"/>
      <c r="H192" s="372"/>
      <c r="I192" s="424"/>
      <c r="J192" s="452"/>
      <c r="K192" s="450"/>
      <c r="L192" s="445"/>
      <c r="M192" s="347"/>
      <c r="N192" s="329"/>
    </row>
    <row r="193" spans="2:14">
      <c r="B193" s="331">
        <f t="shared" si="10"/>
        <v>117</v>
      </c>
      <c r="C193" s="332"/>
      <c r="D193" s="455" t="str">
        <f>"      GRCF=1 / (1 - T)  = (from ln "&amp;B189&amp;")"</f>
        <v xml:space="preserve">      GRCF=1 / (1 - T)  = (from ln 113)</v>
      </c>
      <c r="E193" s="444"/>
      <c r="F193" s="444"/>
      <c r="G193" s="456">
        <f>IF(G189&gt;0,1/(1-G189),0)</f>
        <v>1.3151405556468847</v>
      </c>
      <c r="H193" s="372"/>
      <c r="I193" s="377"/>
      <c r="J193" s="457"/>
      <c r="K193" s="458"/>
      <c r="L193" s="459"/>
      <c r="M193" s="347"/>
      <c r="N193" s="329"/>
    </row>
    <row r="194" spans="2:14">
      <c r="B194" s="331">
        <f t="shared" si="10"/>
        <v>118</v>
      </c>
      <c r="C194" s="332"/>
      <c r="D194" s="393" t="s">
        <v>341</v>
      </c>
      <c r="E194" s="412" t="s">
        <v>505</v>
      </c>
      <c r="F194" s="444"/>
      <c r="G194" s="843"/>
      <c r="H194" s="372"/>
      <c r="I194" s="377"/>
      <c r="J194" s="460"/>
      <c r="K194" s="458"/>
      <c r="L194" s="445"/>
      <c r="M194" s="351"/>
      <c r="N194" s="329"/>
    </row>
    <row r="195" spans="2:14">
      <c r="B195" s="331">
        <f t="shared" si="10"/>
        <v>119</v>
      </c>
      <c r="C195" s="332"/>
      <c r="D195" s="355" t="s">
        <v>533</v>
      </c>
      <c r="E195" s="347" t="s">
        <v>546</v>
      </c>
      <c r="F195" s="461"/>
      <c r="G195" s="1309">
        <v>-108561322</v>
      </c>
      <c r="H195" s="372"/>
      <c r="I195" s="351" t="s">
        <v>130</v>
      </c>
      <c r="J195" s="460"/>
      <c r="K195" s="458"/>
      <c r="L195" s="843">
        <v>-2672072</v>
      </c>
      <c r="M195" s="351"/>
      <c r="N195" s="329"/>
    </row>
    <row r="196" spans="2:14">
      <c r="B196" s="331">
        <f t="shared" si="10"/>
        <v>120</v>
      </c>
      <c r="C196" s="332"/>
      <c r="D196" s="477" t="s">
        <v>757</v>
      </c>
      <c r="E196" s="347" t="s">
        <v>546</v>
      </c>
      <c r="F196" s="461"/>
      <c r="G196" s="843">
        <v>9335244</v>
      </c>
      <c r="H196" s="372"/>
      <c r="I196" s="351" t="s">
        <v>130</v>
      </c>
      <c r="J196" s="460"/>
      <c r="K196" s="458"/>
      <c r="L196" s="843">
        <v>1421448</v>
      </c>
      <c r="M196" s="351"/>
      <c r="N196" s="329"/>
    </row>
    <row r="197" spans="2:14">
      <c r="B197" s="331"/>
      <c r="C197" s="332"/>
      <c r="D197" s="400"/>
      <c r="E197" s="329"/>
      <c r="F197" s="447"/>
      <c r="G197" s="411"/>
      <c r="H197" s="372"/>
      <c r="I197" s="377"/>
      <c r="J197" s="462"/>
      <c r="K197" s="458"/>
      <c r="L197" s="445"/>
      <c r="M197" s="347"/>
      <c r="N197" s="329"/>
    </row>
    <row r="198" spans="2:14">
      <c r="B198" s="331">
        <f>+B196+1</f>
        <v>121</v>
      </c>
      <c r="C198" s="332"/>
      <c r="D198" s="455" t="s">
        <v>342</v>
      </c>
      <c r="E198" s="461" t="str">
        <f>"(ln "&amp;B190&amp;" * ln "&amp;B205&amp;")"</f>
        <v>(ln 114 * ln 126)</v>
      </c>
      <c r="F198" s="463"/>
      <c r="G198" s="411">
        <f>+G190*G205</f>
        <v>108372965.97319137</v>
      </c>
      <c r="H198" s="372"/>
      <c r="I198" s="377"/>
      <c r="J198" s="462"/>
      <c r="K198" s="411"/>
      <c r="L198" s="411">
        <f>+L205*G190</f>
        <v>29765997.469324719</v>
      </c>
      <c r="M198" s="347"/>
      <c r="N198" s="329"/>
    </row>
    <row r="199" spans="2:14">
      <c r="B199" s="331">
        <f>+B198+1</f>
        <v>122</v>
      </c>
      <c r="C199" s="332"/>
      <c r="D199" s="477" t="s">
        <v>343</v>
      </c>
      <c r="E199" s="461" t="str">
        <f>"(ln "&amp;B193&amp;" * ln "&amp;B194&amp;")"</f>
        <v>(ln 117 * ln 118)</v>
      </c>
      <c r="F199" s="461"/>
      <c r="G199" s="436">
        <f>G193*G194</f>
        <v>0</v>
      </c>
      <c r="H199" s="372"/>
      <c r="I199" s="351" t="s">
        <v>767</v>
      </c>
      <c r="J199" s="352">
        <f>J75</f>
        <v>0.2239323217623784</v>
      </c>
      <c r="K199" s="411"/>
      <c r="L199" s="436">
        <f>+G199*J199</f>
        <v>0</v>
      </c>
      <c r="M199" s="347"/>
      <c r="N199" s="329"/>
    </row>
    <row r="200" spans="2:14">
      <c r="B200" s="331">
        <f>B199+1</f>
        <v>123</v>
      </c>
      <c r="C200" s="332"/>
      <c r="D200" s="477" t="s">
        <v>533</v>
      </c>
      <c r="E200" s="461" t="str">
        <f>"(ln "&amp;B193&amp;" * ln "&amp;B195&amp;")"</f>
        <v>(ln 117 * ln 119)</v>
      </c>
      <c r="F200" s="461"/>
      <c r="G200" s="436">
        <f>G195*G193</f>
        <v>-142773397.33684036</v>
      </c>
      <c r="H200" s="372"/>
      <c r="I200" s="464"/>
      <c r="J200" s="352"/>
      <c r="K200" s="411"/>
      <c r="L200" s="436">
        <f>L195*G193</f>
        <v>-3514150.2548084827</v>
      </c>
      <c r="M200" s="347"/>
      <c r="N200" s="329"/>
    </row>
    <row r="201" spans="2:14">
      <c r="B201" s="331">
        <f>B200+1</f>
        <v>124</v>
      </c>
      <c r="C201" s="332"/>
      <c r="D201" s="477" t="s">
        <v>757</v>
      </c>
      <c r="E201" s="461" t="str">
        <f>"(ln "&amp;B193&amp;" * ln "&amp;B196&amp;")"</f>
        <v>(ln 117 * ln 120)</v>
      </c>
      <c r="F201" s="461"/>
      <c r="G201" s="465">
        <f>G196*G193</f>
        <v>12277157.981259247</v>
      </c>
      <c r="H201" s="372"/>
      <c r="I201" s="464"/>
      <c r="J201" s="352"/>
      <c r="K201" s="411"/>
      <c r="L201" s="465">
        <f>L196*G193</f>
        <v>1869403.9125431529</v>
      </c>
      <c r="M201" s="347"/>
      <c r="N201" s="329"/>
    </row>
    <row r="202" spans="2:14">
      <c r="B202" s="331"/>
      <c r="C202" s="332"/>
      <c r="D202" s="355"/>
      <c r="E202" s="461"/>
      <c r="F202" s="461"/>
      <c r="G202" s="436"/>
      <c r="H202" s="372"/>
      <c r="I202" s="464"/>
      <c r="J202" s="352"/>
      <c r="K202" s="411"/>
      <c r="L202" s="436"/>
      <c r="M202" s="347"/>
      <c r="N202" s="329"/>
    </row>
    <row r="203" spans="2:14">
      <c r="B203" s="331">
        <f>+B201+1</f>
        <v>125</v>
      </c>
      <c r="C203" s="332"/>
      <c r="D203" s="446" t="s">
        <v>35</v>
      </c>
      <c r="E203" s="329" t="str">
        <f>"(sum lns "&amp;B198&amp;" to "&amp;B201&amp;")"</f>
        <v>(sum lns 121 to 124)</v>
      </c>
      <c r="F203" s="461"/>
      <c r="G203" s="379">
        <f>SUM(G198:G201)</f>
        <v>-22123273.382389747</v>
      </c>
      <c r="H203" s="372"/>
      <c r="I203" s="377" t="s">
        <v>115</v>
      </c>
      <c r="J203" s="466"/>
      <c r="K203" s="411"/>
      <c r="L203" s="379">
        <f>SUM(L198:L201)</f>
        <v>28121251.127059389</v>
      </c>
      <c r="M203" s="347"/>
      <c r="N203" s="329"/>
    </row>
    <row r="204" spans="2:14">
      <c r="B204" s="331"/>
      <c r="C204" s="332"/>
      <c r="D204" s="393"/>
      <c r="E204" s="329"/>
      <c r="F204" s="329"/>
      <c r="G204" s="329"/>
      <c r="H204" s="347"/>
      <c r="I204" s="360"/>
      <c r="J204" s="443"/>
      <c r="K204" s="329"/>
      <c r="L204" s="329"/>
      <c r="M204" s="347"/>
      <c r="N204" s="329"/>
    </row>
    <row r="205" spans="2:14">
      <c r="B205" s="331">
        <f>+B203+1</f>
        <v>126</v>
      </c>
      <c r="C205" s="332"/>
      <c r="D205" s="455" t="s">
        <v>200</v>
      </c>
      <c r="E205" s="455" t="str">
        <f>"(ln "&amp;B125&amp;" * ln "&amp;B258&amp;")"</f>
        <v>(ln 68 * ln 157)</v>
      </c>
      <c r="F205" s="421"/>
      <c r="G205" s="411">
        <f>+$L258*G125</f>
        <v>507380819.59052974</v>
      </c>
      <c r="H205" s="347"/>
      <c r="I205" s="377"/>
      <c r="J205" s="411"/>
      <c r="K205" s="411"/>
      <c r="L205" s="411">
        <f>+L258*L125</f>
        <v>139358520.42336482</v>
      </c>
      <c r="M205" s="347"/>
      <c r="N205" s="445"/>
    </row>
    <row r="206" spans="2:14">
      <c r="B206" s="331"/>
      <c r="C206" s="332"/>
      <c r="D206" s="446"/>
      <c r="G206" s="411"/>
      <c r="H206" s="411"/>
      <c r="I206" s="377"/>
      <c r="J206" s="377"/>
      <c r="K206" s="411"/>
      <c r="L206" s="411"/>
      <c r="M206" s="347"/>
    </row>
    <row r="207" spans="2:14">
      <c r="B207" s="331">
        <f>+B205+1</f>
        <v>127</v>
      </c>
      <c r="C207" s="332"/>
      <c r="D207" s="468" t="s">
        <v>99</v>
      </c>
      <c r="F207" s="437"/>
      <c r="G207" s="365">
        <f>-'WS D IPP Credits'!C13</f>
        <v>135442</v>
      </c>
      <c r="H207" s="365"/>
      <c r="I207" s="419" t="s">
        <v>130</v>
      </c>
      <c r="J207" s="352">
        <v>1</v>
      </c>
      <c r="K207" s="441"/>
      <c r="L207" s="411">
        <f>+J207*G207</f>
        <v>135442</v>
      </c>
      <c r="M207" s="398"/>
    </row>
    <row r="208" spans="2:14">
      <c r="B208" s="331"/>
      <c r="C208" s="332"/>
      <c r="D208" s="468"/>
      <c r="F208" s="437"/>
      <c r="G208" s="365"/>
      <c r="H208" s="365"/>
      <c r="I208" s="419"/>
      <c r="J208" s="352"/>
      <c r="K208" s="441"/>
      <c r="L208" s="411"/>
      <c r="M208" s="398"/>
    </row>
    <row r="209" spans="2:14">
      <c r="B209" s="331">
        <f>+B207+1</f>
        <v>128</v>
      </c>
      <c r="C209" s="332"/>
      <c r="D209" s="468"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22"/>
      <c r="F209" s="396"/>
      <c r="G209" s="365">
        <f>+'WS N - Sale of Plant Held'!O33</f>
        <v>0</v>
      </c>
      <c r="H209" s="365"/>
      <c r="I209" s="469"/>
      <c r="J209" s="352"/>
      <c r="K209" s="399"/>
      <c r="L209" s="365">
        <f>'WS N - Sale of Plant Held'!S33</f>
        <v>0</v>
      </c>
      <c r="M209" s="398"/>
    </row>
    <row r="210" spans="2:14">
      <c r="B210" s="331"/>
      <c r="C210" s="332"/>
      <c r="D210" s="468"/>
      <c r="E210" s="322"/>
      <c r="F210" s="396"/>
      <c r="G210" s="365"/>
      <c r="H210" s="365"/>
      <c r="I210" s="469"/>
      <c r="J210" s="352"/>
      <c r="K210" s="399"/>
      <c r="L210" s="365"/>
      <c r="M210" s="398"/>
    </row>
    <row r="211" spans="2:14">
      <c r="B211" s="331">
        <f>+B209+1</f>
        <v>129</v>
      </c>
      <c r="C211" s="332"/>
      <c r="D211" s="468" t="str">
        <f>" Tax Impact on Net Loss / (Gain) on Sales of Plant Held for Future Use (ln "&amp;B209&amp;" * ln"&amp;B190&amp;")"</f>
        <v xml:space="preserve"> Tax Impact on Net Loss / (Gain) on Sales of Plant Held for Future Use (ln 128 * ln114)</v>
      </c>
      <c r="E211" s="322"/>
      <c r="F211" s="396"/>
      <c r="G211" s="365">
        <f>-+G190*G209</f>
        <v>0</v>
      </c>
      <c r="H211" s="365"/>
      <c r="I211" s="469"/>
      <c r="J211" s="352"/>
      <c r="K211" s="399"/>
      <c r="L211" s="365">
        <f>L209*-G190</f>
        <v>0</v>
      </c>
      <c r="M211" s="398"/>
    </row>
    <row r="212" spans="2:14" ht="15.75" thickBot="1">
      <c r="B212" s="331"/>
      <c r="C212" s="332"/>
      <c r="D212" s="393"/>
      <c r="G212" s="420"/>
      <c r="H212" s="470"/>
      <c r="I212" s="377"/>
      <c r="J212" s="377"/>
      <c r="K212" s="411"/>
      <c r="L212" s="420"/>
      <c r="M212" s="347"/>
    </row>
    <row r="213" spans="2:14" ht="15.75" thickBot="1">
      <c r="B213" s="331">
        <f>+B211+1</f>
        <v>130</v>
      </c>
      <c r="C213" s="332"/>
      <c r="D213" s="317" t="s">
        <v>250</v>
      </c>
      <c r="G213" s="471">
        <f>+G207+G205+G203+G186+G177+G169+G209+G211</f>
        <v>1152387471.64814</v>
      </c>
      <c r="L213" s="471">
        <f>+L207+L205+L203+L186+L177+L169+L209+L211</f>
        <v>302222946.08830595</v>
      </c>
      <c r="M213" s="347"/>
    </row>
    <row r="214" spans="2:14" ht="15.75" thickTop="1">
      <c r="B214" s="331"/>
      <c r="C214" s="332"/>
      <c r="D214" s="323" t="str">
        <f>"    (sum lns "&amp;B169&amp;", "&amp;B177&amp;", "&amp;B186&amp;", "&amp;B203&amp;", "&amp;B205&amp;", "&amp;B207&amp;", "&amp;B209&amp;", "&amp;B211&amp;")"</f>
        <v xml:space="preserve">    (sum lns 96, 103, 111, 125, 126, 127, 128, 129)</v>
      </c>
      <c r="F214" s="472"/>
      <c r="M214" s="347"/>
    </row>
    <row r="215" spans="2:14">
      <c r="B215" s="331"/>
      <c r="C215" s="332"/>
      <c r="F215" s="472"/>
      <c r="M215" s="347"/>
    </row>
    <row r="216" spans="2:14">
      <c r="B216" s="331"/>
      <c r="C216" s="332"/>
      <c r="D216" s="323"/>
      <c r="F216" s="424" t="str">
        <f>F128</f>
        <v xml:space="preserve">AEP East Companies </v>
      </c>
      <c r="M216" s="423"/>
    </row>
    <row r="217" spans="2:14">
      <c r="B217" s="331"/>
      <c r="C217" s="332"/>
      <c r="D217" s="323"/>
      <c r="F217" s="424" t="str">
        <f>F129</f>
        <v>Transmission Cost of Service Formula Rate</v>
      </c>
      <c r="M217" s="423"/>
    </row>
    <row r="218" spans="2:14">
      <c r="B218" s="317"/>
      <c r="C218" s="332"/>
      <c r="F218" s="424" t="str">
        <f>F130</f>
        <v>Utilizing  Actual/Projected FERC Form 1 Data</v>
      </c>
      <c r="M218" s="382"/>
    </row>
    <row r="219" spans="2:14">
      <c r="B219" s="331"/>
      <c r="C219" s="332"/>
      <c r="E219" s="424"/>
      <c r="F219" s="424"/>
      <c r="G219" s="424"/>
      <c r="H219" s="424"/>
      <c r="I219" s="424"/>
      <c r="J219" s="424"/>
      <c r="K219" s="424"/>
      <c r="M219" s="347"/>
    </row>
    <row r="220" spans="2:14">
      <c r="B220" s="331"/>
      <c r="C220" s="332"/>
      <c r="E220" s="323"/>
      <c r="F220" s="424" t="str">
        <f>F132</f>
        <v>Appalachian Power Company</v>
      </c>
      <c r="G220" s="323"/>
      <c r="H220" s="323"/>
      <c r="I220" s="323"/>
      <c r="J220" s="323"/>
      <c r="K220" s="323"/>
      <c r="L220" s="323"/>
      <c r="M220" s="368"/>
    </row>
    <row r="221" spans="2:14">
      <c r="B221" s="331"/>
      <c r="C221" s="332"/>
      <c r="E221" s="323"/>
      <c r="F221" s="424"/>
      <c r="G221" s="323"/>
      <c r="H221" s="323"/>
      <c r="I221" s="323"/>
      <c r="J221" s="323"/>
      <c r="K221" s="323"/>
      <c r="L221" s="323"/>
      <c r="M221" s="368"/>
    </row>
    <row r="222" spans="2:14" ht="15.75">
      <c r="B222" s="331"/>
      <c r="C222" s="332"/>
      <c r="F222" s="428" t="s">
        <v>40</v>
      </c>
      <c r="H222" s="326"/>
      <c r="I222" s="326"/>
      <c r="J222" s="326"/>
      <c r="K222" s="326"/>
      <c r="L222" s="326"/>
      <c r="M222" s="347"/>
    </row>
    <row r="223" spans="2:14" ht="15.75">
      <c r="B223" s="331"/>
      <c r="C223" s="332"/>
      <c r="D223" s="473"/>
      <c r="E223" s="326"/>
      <c r="F223" s="326"/>
      <c r="G223" s="326"/>
      <c r="H223" s="326"/>
      <c r="I223" s="326"/>
      <c r="J223" s="326"/>
      <c r="K223" s="326"/>
      <c r="L223" s="326"/>
      <c r="M223" s="347"/>
    </row>
    <row r="224" spans="2:14" ht="15.75">
      <c r="B224" s="331" t="s">
        <v>117</v>
      </c>
      <c r="C224" s="332"/>
      <c r="D224" s="473"/>
      <c r="E224" s="326"/>
      <c r="F224" s="326"/>
      <c r="G224" s="326"/>
      <c r="H224" s="326"/>
      <c r="I224" s="326"/>
      <c r="J224" s="326"/>
      <c r="K224" s="326"/>
      <c r="L224" s="326"/>
      <c r="M224" s="347"/>
      <c r="N224" s="322"/>
    </row>
    <row r="225" spans="2:15" ht="15.75" thickBot="1">
      <c r="B225" s="338" t="s">
        <v>118</v>
      </c>
      <c r="C225" s="339"/>
      <c r="D225" s="368" t="s">
        <v>222</v>
      </c>
      <c r="E225" s="342"/>
      <c r="F225" s="342"/>
      <c r="G225" s="342"/>
      <c r="H225" s="342"/>
      <c r="I225" s="342"/>
      <c r="J225" s="342"/>
      <c r="K225" s="322"/>
      <c r="M225" s="347"/>
      <c r="N225" s="322"/>
      <c r="O225" s="334"/>
    </row>
    <row r="226" spans="2:15">
      <c r="B226" s="331">
        <f>+B213+1</f>
        <v>131</v>
      </c>
      <c r="C226" s="332"/>
      <c r="D226" s="342" t="s">
        <v>167</v>
      </c>
      <c r="E226" s="474" t="str">
        <f>"(ln "&amp;B68&amp;")"</f>
        <v>(ln 21)</v>
      </c>
      <c r="F226" s="475"/>
      <c r="H226" s="476"/>
      <c r="I226" s="476"/>
      <c r="J226" s="476"/>
      <c r="K226" s="476"/>
      <c r="L226" s="350">
        <f>+G68</f>
        <v>3104186612.5523076</v>
      </c>
      <c r="M226" s="347"/>
      <c r="N226" s="322"/>
      <c r="O226" s="334"/>
    </row>
    <row r="227" spans="2:15">
      <c r="B227" s="331">
        <f>+B226+1</f>
        <v>132</v>
      </c>
      <c r="C227" s="332"/>
      <c r="D227" s="342" t="str">
        <f>"  Less transmission plant excluded from PJM Tariff  (Worksheet A, ln "&amp;'WS A - RB Support'!A62&amp;", Col. "&amp;'WS A - RB Support'!E47&amp;") (Note P)"</f>
        <v xml:space="preserve">  Less transmission plant excluded from PJM Tariff  (Worksheet A, ln 42, Col. (d)) (Note P)</v>
      </c>
      <c r="E227" s="477"/>
      <c r="F227" s="477"/>
      <c r="G227" s="478"/>
      <c r="H227" s="477"/>
      <c r="I227" s="477"/>
      <c r="J227" s="477"/>
      <c r="K227" s="477"/>
      <c r="L227" s="843">
        <f>'WS A - RB Support'!E62</f>
        <v>0</v>
      </c>
      <c r="M227" s="347"/>
      <c r="O227" s="334"/>
    </row>
    <row r="228" spans="2:15" ht="15.75" thickBot="1">
      <c r="B228" s="331">
        <f>+B227+1</f>
        <v>133</v>
      </c>
      <c r="C228" s="332"/>
      <c r="D228" s="475" t="str">
        <f>"  Less transmission plant included in OATT Ancillary Services (Worksheet A, ln "&amp;'WS A - RB Support'!A62&amp;", Col. "&amp;'WS A - RB Support'!C47&amp;")  (Note Q)"</f>
        <v xml:space="preserve">  Less transmission plant included in OATT Ancillary Services (Worksheet A, ln 42, Col. (b))  (Note Q)</v>
      </c>
      <c r="E228" s="475"/>
      <c r="F228" s="475"/>
      <c r="G228" s="392"/>
      <c r="H228" s="476"/>
      <c r="I228" s="476"/>
      <c r="J228" s="392"/>
      <c r="K228" s="476"/>
      <c r="L228" s="479">
        <f>'WS A - RB Support'!C62</f>
        <v>73428353.819999993</v>
      </c>
      <c r="M228" s="347"/>
      <c r="O228" s="334"/>
    </row>
    <row r="229" spans="2:15">
      <c r="B229" s="331">
        <f>+B228+1</f>
        <v>134</v>
      </c>
      <c r="C229" s="332"/>
      <c r="D229" s="342" t="s">
        <v>223</v>
      </c>
      <c r="E229" s="480" t="str">
        <f>"(ln "&amp;B226&amp;" - ln "&amp;B227&amp;" - ln "&amp;B228&amp;")"</f>
        <v>(ln 131 - ln 132 - ln 133)</v>
      </c>
      <c r="F229" s="475"/>
      <c r="H229" s="476"/>
      <c r="I229" s="476"/>
      <c r="J229" s="392"/>
      <c r="K229" s="476"/>
      <c r="L229" s="350">
        <f>L226-L227-L228</f>
        <v>3030758258.7323074</v>
      </c>
      <c r="M229" s="347"/>
      <c r="O229" s="334"/>
    </row>
    <row r="230" spans="2:15">
      <c r="B230" s="331"/>
      <c r="C230" s="332"/>
      <c r="D230" s="322"/>
      <c r="E230" s="475"/>
      <c r="F230" s="475"/>
      <c r="G230" s="392"/>
      <c r="H230" s="476"/>
      <c r="I230" s="476"/>
      <c r="J230" s="392"/>
      <c r="K230" s="476"/>
      <c r="L230" s="477"/>
      <c r="M230" s="347"/>
      <c r="O230" s="334"/>
    </row>
    <row r="231" spans="2:15" ht="15.75">
      <c r="B231" s="331">
        <f>+B229+1</f>
        <v>135</v>
      </c>
      <c r="C231" s="332"/>
      <c r="D231" s="342" t="s">
        <v>224</v>
      </c>
      <c r="E231" s="481" t="str">
        <f>"(ln "&amp;B229&amp;" / ln "&amp;B226&amp;")"</f>
        <v>(ln 134 / ln 131)</v>
      </c>
      <c r="F231" s="482"/>
      <c r="H231" s="483"/>
      <c r="I231" s="484"/>
      <c r="J231" s="484"/>
      <c r="K231" s="485" t="s">
        <v>144</v>
      </c>
      <c r="L231" s="486">
        <f>IF(L226&gt;0,L229/L226,0)</f>
        <v>0.97634538029283413</v>
      </c>
      <c r="M231" s="347"/>
      <c r="O231" s="334"/>
    </row>
    <row r="232" spans="2:15" ht="15.75">
      <c r="B232" s="331"/>
      <c r="C232" s="332"/>
      <c r="D232" s="487"/>
      <c r="E232" s="342"/>
      <c r="F232" s="342"/>
      <c r="G232" s="488"/>
      <c r="H232" s="342"/>
      <c r="I232" s="357"/>
      <c r="J232" s="342"/>
      <c r="K232" s="342"/>
      <c r="L232" s="326"/>
      <c r="M232" s="347"/>
    </row>
    <row r="233" spans="2:15" ht="30">
      <c r="B233" s="331">
        <f>B231+1</f>
        <v>136</v>
      </c>
      <c r="C233" s="357"/>
      <c r="D233" s="368" t="s">
        <v>41</v>
      </c>
      <c r="E233" s="351" t="s">
        <v>344</v>
      </c>
      <c r="F233" s="351" t="s">
        <v>185</v>
      </c>
      <c r="G233" s="489" t="s">
        <v>215</v>
      </c>
      <c r="H233" s="425" t="s">
        <v>119</v>
      </c>
      <c r="I233" s="360"/>
      <c r="J233" s="329"/>
      <c r="K233" s="329"/>
      <c r="L233" s="329"/>
      <c r="M233" s="347"/>
    </row>
    <row r="234" spans="2:15">
      <c r="B234" s="331">
        <f t="shared" ref="B234:B239" si="11">+B233+1</f>
        <v>137</v>
      </c>
      <c r="C234" s="357"/>
      <c r="D234" s="368" t="s">
        <v>127</v>
      </c>
      <c r="E234" s="329" t="s">
        <v>432</v>
      </c>
      <c r="F234" s="845">
        <v>58098851</v>
      </c>
      <c r="G234" s="845">
        <v>27370366</v>
      </c>
      <c r="H234" s="394">
        <f>+F234+G234</f>
        <v>85469217</v>
      </c>
      <c r="I234" s="360" t="s">
        <v>128</v>
      </c>
      <c r="J234" s="352">
        <v>0</v>
      </c>
      <c r="K234" s="490"/>
      <c r="L234" s="411">
        <f>(F234+G234)*J234</f>
        <v>0</v>
      </c>
      <c r="M234" s="347"/>
    </row>
    <row r="235" spans="2:15">
      <c r="B235" s="331">
        <f t="shared" si="11"/>
        <v>138</v>
      </c>
      <c r="C235" s="357"/>
      <c r="D235" s="400" t="s">
        <v>129</v>
      </c>
      <c r="E235" s="347" t="s">
        <v>12</v>
      </c>
      <c r="F235" s="845">
        <v>439331</v>
      </c>
      <c r="G235" s="845">
        <v>15287414</v>
      </c>
      <c r="H235" s="394">
        <f>+F235+G235</f>
        <v>15726745</v>
      </c>
      <c r="I235" s="357" t="s">
        <v>121</v>
      </c>
      <c r="J235" s="352">
        <f>L231</f>
        <v>0.97634538029283413</v>
      </c>
      <c r="K235" s="490"/>
      <c r="L235" s="411">
        <f>(F235+G235)*J235</f>
        <v>15354734.827793427</v>
      </c>
      <c r="M235" s="347"/>
    </row>
    <row r="236" spans="2:15">
      <c r="B236" s="331">
        <f t="shared" si="11"/>
        <v>139</v>
      </c>
      <c r="C236" s="357"/>
      <c r="D236" s="400" t="s">
        <v>227</v>
      </c>
      <c r="E236" s="329" t="s">
        <v>467</v>
      </c>
      <c r="F236" s="845">
        <v>0</v>
      </c>
      <c r="G236" s="845">
        <v>0</v>
      </c>
      <c r="H236" s="394">
        <v>0</v>
      </c>
      <c r="I236" s="360" t="s">
        <v>128</v>
      </c>
      <c r="J236" s="352">
        <v>0</v>
      </c>
      <c r="K236" s="490"/>
      <c r="L236" s="411">
        <f>(F236+G236)*J236</f>
        <v>0</v>
      </c>
      <c r="M236" s="347"/>
    </row>
    <row r="237" spans="2:15">
      <c r="B237" s="331">
        <f t="shared" si="11"/>
        <v>140</v>
      </c>
      <c r="C237" s="357"/>
      <c r="D237" s="400" t="s">
        <v>131</v>
      </c>
      <c r="E237" s="329" t="s">
        <v>430</v>
      </c>
      <c r="F237" s="845">
        <v>39770905</v>
      </c>
      <c r="G237" s="845">
        <v>4743389</v>
      </c>
      <c r="H237" s="394">
        <f>+F237+G237</f>
        <v>44514294</v>
      </c>
      <c r="I237" s="360" t="s">
        <v>128</v>
      </c>
      <c r="J237" s="352">
        <v>0</v>
      </c>
      <c r="K237" s="490"/>
      <c r="L237" s="411">
        <f>(F237+G237)*J237</f>
        <v>0</v>
      </c>
      <c r="M237" s="347"/>
    </row>
    <row r="238" spans="2:15" ht="15.75" thickBot="1">
      <c r="B238" s="331">
        <f t="shared" si="11"/>
        <v>141</v>
      </c>
      <c r="C238" s="357"/>
      <c r="D238" s="400" t="s">
        <v>202</v>
      </c>
      <c r="E238" s="329" t="s">
        <v>431</v>
      </c>
      <c r="F238" s="846">
        <v>11127418</v>
      </c>
      <c r="G238" s="846">
        <v>8763586</v>
      </c>
      <c r="H238" s="491">
        <f>+F238+G238</f>
        <v>19891004</v>
      </c>
      <c r="I238" s="360" t="s">
        <v>128</v>
      </c>
      <c r="J238" s="352">
        <v>0</v>
      </c>
      <c r="K238" s="490"/>
      <c r="L238" s="420">
        <f>(F238+G238)*J238</f>
        <v>0</v>
      </c>
      <c r="M238" s="347"/>
    </row>
    <row r="239" spans="2:15" ht="15.75">
      <c r="B239" s="331">
        <f t="shared" si="11"/>
        <v>142</v>
      </c>
      <c r="C239" s="357"/>
      <c r="D239" s="400" t="s">
        <v>119</v>
      </c>
      <c r="E239" s="400" t="str">
        <f>"(sum lns "&amp;B234&amp;" to "&amp;B238&amp;")"</f>
        <v>(sum lns 137 to 141)</v>
      </c>
      <c r="F239" s="347">
        <f>SUM(F234:F238)</f>
        <v>109436505</v>
      </c>
      <c r="G239" s="347">
        <f>SUM(G234:G238)</f>
        <v>56164755</v>
      </c>
      <c r="H239" s="347">
        <f>SUM(H234:H238)</f>
        <v>165601260</v>
      </c>
      <c r="I239" s="360"/>
      <c r="J239" s="329"/>
      <c r="K239" s="329"/>
      <c r="L239" s="411">
        <f>SUM(L234:L238)</f>
        <v>15354734.827793427</v>
      </c>
      <c r="M239" s="492"/>
    </row>
    <row r="240" spans="2:15">
      <c r="B240" s="331"/>
      <c r="C240" s="357"/>
      <c r="D240" s="400" t="s">
        <v>115</v>
      </c>
      <c r="E240" s="347" t="s">
        <v>115</v>
      </c>
      <c r="F240" s="347"/>
      <c r="G240" s="322"/>
      <c r="H240" s="347"/>
      <c r="I240" s="424"/>
      <c r="M240" s="322"/>
    </row>
    <row r="241" spans="2:20" ht="15.75">
      <c r="B241" s="331">
        <f>B239+1</f>
        <v>143</v>
      </c>
      <c r="C241" s="332"/>
      <c r="D241" s="393" t="s">
        <v>42</v>
      </c>
      <c r="E241" s="347"/>
      <c r="F241" s="347"/>
      <c r="G241" s="347"/>
      <c r="H241" s="347"/>
      <c r="I241" s="424"/>
      <c r="K241" s="493" t="s">
        <v>43</v>
      </c>
      <c r="L241" s="494">
        <f>L239/(F239+G239)</f>
        <v>9.2721123183443332E-2</v>
      </c>
      <c r="M241" s="322"/>
    </row>
    <row r="242" spans="2:20">
      <c r="B242" s="331"/>
      <c r="C242" s="332"/>
      <c r="D242" s="393"/>
      <c r="E242" s="347"/>
      <c r="F242" s="347"/>
      <c r="G242" s="347"/>
      <c r="H242" s="347"/>
      <c r="I242" s="360"/>
      <c r="J242" s="329"/>
      <c r="K242" s="329"/>
      <c r="L242" s="329"/>
      <c r="M242" s="347"/>
    </row>
    <row r="243" spans="2:20" ht="15.75">
      <c r="B243" s="331"/>
      <c r="C243" s="332"/>
      <c r="D243" s="393"/>
      <c r="E243" s="472"/>
      <c r="F243" s="329"/>
      <c r="H243" s="329"/>
      <c r="I243" s="329"/>
      <c r="J243" s="329"/>
      <c r="K243" s="391"/>
      <c r="L243" s="495"/>
      <c r="M243" s="347"/>
    </row>
    <row r="244" spans="2:20" ht="15.75" thickBot="1">
      <c r="B244" s="331">
        <f>+B241+1</f>
        <v>144</v>
      </c>
      <c r="C244" s="357"/>
      <c r="D244" s="400" t="s">
        <v>199</v>
      </c>
      <c r="E244" s="347"/>
      <c r="F244" s="347"/>
      <c r="G244" s="347"/>
      <c r="H244" s="347"/>
      <c r="I244" s="347"/>
      <c r="J244" s="347"/>
      <c r="K244" s="347"/>
      <c r="L244" s="496" t="s">
        <v>145</v>
      </c>
      <c r="M244" s="347"/>
    </row>
    <row r="245" spans="2:20">
      <c r="B245" s="331">
        <f t="shared" ref="B245:B252" si="12">+B244+1</f>
        <v>145</v>
      </c>
      <c r="C245" s="357"/>
      <c r="D245" s="347" t="s">
        <v>220</v>
      </c>
      <c r="E245" s="322" t="str">
        <f>"(Worksheet M, ln. "&amp;'WS M - Cost of Capital'!A56&amp;", col. "&amp;'WS M - Cost of Capital'!E47&amp;")"</f>
        <v>(Worksheet M, ln. 37, col. (d))</v>
      </c>
      <c r="F245" s="347"/>
      <c r="G245" s="347"/>
      <c r="H245" s="347"/>
      <c r="I245" s="347"/>
      <c r="J245" s="347"/>
      <c r="K245" s="347"/>
      <c r="L245" s="365">
        <f>'WS M - Cost of Capital'!E56</f>
        <v>193135928</v>
      </c>
      <c r="M245" s="347"/>
    </row>
    <row r="246" spans="2:20">
      <c r="B246" s="331">
        <f t="shared" si="12"/>
        <v>146</v>
      </c>
      <c r="C246" s="357"/>
      <c r="D246" s="347" t="s">
        <v>221</v>
      </c>
      <c r="E246" s="322" t="str">
        <f>"(Worksheet M, ln. "&amp;'WS M - Cost of Capital'!A103&amp;")"</f>
        <v>(Worksheet M, ln. 71)</v>
      </c>
      <c r="F246" s="347"/>
      <c r="G246" s="347"/>
      <c r="H246" s="347"/>
      <c r="I246" s="347"/>
      <c r="J246" s="347"/>
      <c r="K246" s="347"/>
      <c r="L246" s="365">
        <f>'WS M - Cost of Capital'!E103</f>
        <v>0</v>
      </c>
      <c r="M246" s="347"/>
    </row>
    <row r="247" spans="2:20">
      <c r="B247" s="331">
        <f t="shared" si="12"/>
        <v>147</v>
      </c>
      <c r="C247" s="357"/>
      <c r="D247" s="497" t="s">
        <v>243</v>
      </c>
      <c r="E247" s="347"/>
      <c r="F247" s="347"/>
      <c r="G247" s="347"/>
      <c r="H247" s="415"/>
      <c r="I247" s="347"/>
      <c r="J247" s="347"/>
      <c r="K247" s="347"/>
      <c r="L247" s="365"/>
      <c r="M247" s="347"/>
    </row>
    <row r="248" spans="2:20">
      <c r="B248" s="331">
        <f t="shared" si="12"/>
        <v>148</v>
      </c>
      <c r="C248" s="357"/>
      <c r="D248" s="347" t="s">
        <v>244</v>
      </c>
      <c r="E248" s="524" t="str">
        <f>"(Worksheet M, ln. "&amp;'WS M - Cost of Capital'!A23&amp;", col. "&amp;'WS M - Cost of Capital'!C8&amp;")"</f>
        <v>(Worksheet M, ln. 14, col. (b))</v>
      </c>
      <c r="F248" s="347"/>
      <c r="G248" s="342"/>
      <c r="H248" s="417"/>
      <c r="I248" s="347"/>
      <c r="J248" s="347"/>
      <c r="K248" s="347"/>
      <c r="L248" s="365">
        <f>'WS M - Cost of Capital'!C23</f>
        <v>3921179062.3483834</v>
      </c>
      <c r="M248" s="347"/>
    </row>
    <row r="249" spans="2:20">
      <c r="B249" s="331">
        <f t="shared" si="12"/>
        <v>149</v>
      </c>
      <c r="C249" s="357"/>
      <c r="D249" s="347" t="s">
        <v>369</v>
      </c>
      <c r="E249" s="524" t="str">
        <f>"(Worksheet M, ln. "&amp;'WS M - Cost of Capital'!A23&amp;", col. "&amp;'WS M - Cost of Capital'!D8&amp;")"</f>
        <v>(Worksheet M, ln. 14, col. (c))</v>
      </c>
      <c r="F249" s="347"/>
      <c r="G249" s="347"/>
      <c r="H249" s="417"/>
      <c r="I249" s="347"/>
      <c r="J249" s="347"/>
      <c r="K249" s="347"/>
      <c r="L249" s="394">
        <f>'WS M - Cost of Capital'!D23</f>
        <v>0</v>
      </c>
      <c r="M249" s="347"/>
    </row>
    <row r="250" spans="2:20">
      <c r="B250" s="331">
        <f>+B249+1</f>
        <v>150</v>
      </c>
      <c r="C250" s="357"/>
      <c r="D250" s="347" t="s">
        <v>362</v>
      </c>
      <c r="E250" s="524" t="str">
        <f>"(Worksheet M, ln. "&amp;'WS M - Cost of Capital'!A23&amp;", col. "&amp;'WS M - Cost of Capital'!E8&amp;")"</f>
        <v>(Worksheet M, ln. 14, col. (d))</v>
      </c>
      <c r="F250" s="347"/>
      <c r="G250" s="347"/>
      <c r="H250" s="417"/>
      <c r="I250" s="347"/>
      <c r="J250" s="347"/>
      <c r="K250" s="347"/>
      <c r="L250" s="394">
        <f>'WS M - Cost of Capital'!E23</f>
        <v>-3472633.5884615388</v>
      </c>
      <c r="M250" s="347"/>
    </row>
    <row r="251" spans="2:20" ht="15.75" thickBot="1">
      <c r="B251" s="331">
        <f t="shared" si="12"/>
        <v>151</v>
      </c>
      <c r="C251" s="357"/>
      <c r="D251" s="347" t="s">
        <v>368</v>
      </c>
      <c r="E251" s="524" t="str">
        <f>"(Worksheet M, ln. "&amp;'WS M - Cost of Capital'!A23&amp;", col. "&amp;'WS M - Cost of Capital'!F8&amp;")"</f>
        <v>(Worksheet M, ln. 14, col. (e))</v>
      </c>
      <c r="F251" s="347"/>
      <c r="G251" s="347"/>
      <c r="H251" s="417"/>
      <c r="I251" s="347"/>
      <c r="J251" s="418"/>
      <c r="K251" s="347"/>
      <c r="L251" s="491">
        <f>'WS M - Cost of Capital'!F23</f>
        <v>-350882.20307692321</v>
      </c>
      <c r="M251" s="347"/>
    </row>
    <row r="252" spans="2:20">
      <c r="B252" s="331">
        <f t="shared" si="12"/>
        <v>152</v>
      </c>
      <c r="C252" s="357"/>
      <c r="D252" s="317" t="s">
        <v>245</v>
      </c>
      <c r="E252" s="347" t="str">
        <f>"(ln "&amp;B248&amp;" - ln "&amp;B249&amp;" - ln "&amp;B250&amp;" - ln "&amp;B251&amp;")"</f>
        <v>(ln 148 - ln 149 - ln 150 - ln 151)</v>
      </c>
      <c r="F252" s="498"/>
      <c r="G252" s="322"/>
      <c r="H252" s="342"/>
      <c r="I252" s="342"/>
      <c r="J252" s="342"/>
      <c r="K252" s="342"/>
      <c r="L252" s="365">
        <f>+L248-L249-L250-L251</f>
        <v>3925002578.1399217</v>
      </c>
      <c r="M252" s="329"/>
    </row>
    <row r="253" spans="2:20" ht="15.75">
      <c r="B253" s="331"/>
      <c r="C253" s="357"/>
      <c r="D253" s="400"/>
      <c r="E253" s="347"/>
      <c r="F253" s="347"/>
      <c r="G253" s="1389" t="s">
        <v>1012</v>
      </c>
      <c r="H253" s="1389"/>
      <c r="I253" s="499"/>
      <c r="J253" s="500" t="s">
        <v>146</v>
      </c>
      <c r="K253" s="347"/>
      <c r="L253" s="347"/>
      <c r="M253" s="329"/>
    </row>
    <row r="254" spans="2:20" ht="15.75" thickBot="1">
      <c r="B254" s="331">
        <f>+B252+1</f>
        <v>153</v>
      </c>
      <c r="C254" s="357"/>
      <c r="D254" s="400"/>
      <c r="F254" s="347"/>
      <c r="G254" s="501" t="s">
        <v>145</v>
      </c>
      <c r="H254" s="501" t="s">
        <v>147</v>
      </c>
      <c r="I254" s="496" t="s">
        <v>1011</v>
      </c>
      <c r="J254" s="502" t="s">
        <v>428</v>
      </c>
      <c r="K254" s="347"/>
      <c r="L254" s="501" t="s">
        <v>148</v>
      </c>
      <c r="M254" s="329"/>
      <c r="N254" s="323"/>
      <c r="O254" s="323"/>
      <c r="P254" s="323"/>
      <c r="Q254" s="323"/>
      <c r="R254" s="323"/>
      <c r="S254" s="323"/>
      <c r="T254" s="323"/>
    </row>
    <row r="255" spans="2:20">
      <c r="B255" s="331">
        <f>+B254+1</f>
        <v>154</v>
      </c>
      <c r="C255" s="357"/>
      <c r="D255" s="524" t="str">
        <f>"  Long Term Debt  (Note T) Worksheet M, ln "&amp;'WS M - Cost of Capital'!A42&amp;", col. (g), ln "&amp;'WS M - Cost of Capital'!A58&amp;", col. "&amp;'WS M - Cost of Capital'!E47&amp;")"</f>
        <v xml:space="preserve">  Long Term Debt  (Note T) Worksheet M, ln 28, col. (g), ln 38, col. (d))</v>
      </c>
      <c r="E255" s="524"/>
      <c r="F255" s="347"/>
      <c r="G255" s="365">
        <f>'WS M - Cost of Capital'!H42</f>
        <v>4064593714.4115381</v>
      </c>
      <c r="H255" s="1308">
        <f>IF($G$258&gt;0,G255/$G$258,0)</f>
        <v>0.5087358066140184</v>
      </c>
      <c r="I255" s="503">
        <f>IF(H257&gt;E260,1-I256-I257,H255)</f>
        <v>0.5087358066140184</v>
      </c>
      <c r="J255" s="418">
        <f>'WS M - Cost of Capital'!E58</f>
        <v>4.7516662567088024E-2</v>
      </c>
      <c r="K255" s="322"/>
      <c r="L255" s="505">
        <f>I255*J255</f>
        <v>2.4173427658673662E-2</v>
      </c>
      <c r="M255" s="506"/>
      <c r="N255" s="323"/>
      <c r="O255" s="323"/>
      <c r="P255" s="323"/>
      <c r="Q255" s="323"/>
      <c r="R255" s="323"/>
      <c r="S255" s="323"/>
      <c r="T255" s="323"/>
    </row>
    <row r="256" spans="2:20">
      <c r="B256" s="331">
        <f>+B255+1</f>
        <v>155</v>
      </c>
      <c r="C256" s="357"/>
      <c r="D256" s="400" t="str">
        <f>"  Preferred Stock (ln "&amp;B249&amp;")"</f>
        <v xml:space="preserve">  Preferred Stock (ln 149)</v>
      </c>
      <c r="F256" s="322"/>
      <c r="G256" s="365">
        <f>+L249</f>
        <v>0</v>
      </c>
      <c r="H256" s="503">
        <f>IF($G$258&gt;0,G256/$G$258,0)</f>
        <v>0</v>
      </c>
      <c r="I256" s="503">
        <f>H256</f>
        <v>0</v>
      </c>
      <c r="J256" s="504">
        <f>IF(G256&gt;0,L246/G256,0)</f>
        <v>0</v>
      </c>
      <c r="K256" s="322"/>
      <c r="L256" s="507">
        <f>I256*J256</f>
        <v>0</v>
      </c>
      <c r="M256" s="329"/>
    </row>
    <row r="257" spans="2:20" ht="15.75" thickBot="1">
      <c r="B257" s="331">
        <f>+B256+1</f>
        <v>156</v>
      </c>
      <c r="C257" s="357"/>
      <c r="D257" s="400" t="str">
        <f>"  Common Stock (ln "&amp;B252&amp;")"</f>
        <v xml:space="preserve">  Common Stock (ln 152)</v>
      </c>
      <c r="F257" s="322"/>
      <c r="G257" s="401">
        <f>+L252</f>
        <v>3925002578.1399217</v>
      </c>
      <c r="H257" s="503">
        <f>IF($G$258&gt;0,G257/$G$258,0)</f>
        <v>0.49126419338598154</v>
      </c>
      <c r="I257" s="503">
        <f>IF(H257&gt;E260,E260,H257)</f>
        <v>0.49126419338598154</v>
      </c>
      <c r="J257" s="847">
        <v>0.10349999999999999</v>
      </c>
      <c r="K257" s="322"/>
      <c r="L257" s="508">
        <f>I257*J257</f>
        <v>5.0845844015449088E-2</v>
      </c>
      <c r="M257" s="329"/>
    </row>
    <row r="258" spans="2:20" ht="15.75">
      <c r="B258" s="331">
        <f>+B257+1</f>
        <v>157</v>
      </c>
      <c r="C258" s="357"/>
      <c r="D258" s="400" t="str">
        <f>" Total (Sum lns "&amp;B255&amp;" to "&amp;B257&amp;")"</f>
        <v xml:space="preserve"> Total (Sum lns 154 to 156)</v>
      </c>
      <c r="F258" s="322"/>
      <c r="G258" s="365">
        <f>G257+G256+G255</f>
        <v>7989596292.5514603</v>
      </c>
      <c r="I258" s="499"/>
      <c r="J258" s="509"/>
      <c r="K258" s="413" t="s">
        <v>25</v>
      </c>
      <c r="L258" s="510">
        <f>SUM(L255:L257)</f>
        <v>7.5019271674122756E-2</v>
      </c>
      <c r="M258" s="511"/>
    </row>
    <row r="259" spans="2:20" ht="15.75">
      <c r="B259" s="331"/>
      <c r="C259" s="357"/>
      <c r="D259" s="400"/>
      <c r="F259" s="322"/>
      <c r="G259" s="365"/>
      <c r="I259" s="499"/>
      <c r="J259" s="509"/>
      <c r="K259" s="413"/>
      <c r="L259" s="510"/>
      <c r="M259" s="511"/>
    </row>
    <row r="260" spans="2:20">
      <c r="B260" s="356">
        <f>B258+1</f>
        <v>158</v>
      </c>
      <c r="C260" s="518"/>
      <c r="D260" s="518" t="s">
        <v>1013</v>
      </c>
      <c r="E260" s="1313">
        <v>0.55000000000000004</v>
      </c>
      <c r="F260" s="334"/>
      <c r="G260" s="334"/>
      <c r="H260" s="334"/>
      <c r="I260" s="334"/>
      <c r="J260" s="329"/>
      <c r="K260" s="326"/>
      <c r="L260" s="329"/>
      <c r="M260" s="326"/>
      <c r="N260" s="342"/>
      <c r="O260" s="342"/>
      <c r="P260" s="342"/>
      <c r="Q260" s="342"/>
      <c r="R260" s="342"/>
      <c r="S260" s="342"/>
      <c r="T260" s="342"/>
    </row>
    <row r="261" spans="2:20" ht="15.75">
      <c r="B261" s="422"/>
      <c r="C261" s="332"/>
      <c r="D261" s="319"/>
      <c r="E261" s="319"/>
      <c r="F261" s="424" t="str">
        <f>F216</f>
        <v xml:space="preserve">AEP East Companies </v>
      </c>
      <c r="G261" s="320"/>
      <c r="H261" s="329"/>
      <c r="I261" s="329"/>
      <c r="J261" s="329"/>
      <c r="K261" s="326"/>
      <c r="L261" s="329"/>
      <c r="M261" s="512"/>
      <c r="N261" s="342"/>
      <c r="O261" s="342"/>
      <c r="P261" s="342"/>
      <c r="Q261" s="342"/>
      <c r="R261" s="342"/>
      <c r="S261" s="342"/>
      <c r="T261" s="342"/>
    </row>
    <row r="262" spans="2:20">
      <c r="B262" s="422"/>
      <c r="C262" s="332"/>
      <c r="D262" s="513"/>
      <c r="E262" s="332"/>
      <c r="F262" s="424" t="str">
        <f>F217</f>
        <v>Transmission Cost of Service Formula Rate</v>
      </c>
      <c r="G262" s="329"/>
      <c r="H262" s="329"/>
      <c r="I262" s="329"/>
      <c r="J262" s="329"/>
      <c r="K262" s="326"/>
      <c r="L262" s="345"/>
      <c r="M262" s="382"/>
      <c r="N262" s="342"/>
      <c r="O262" s="342"/>
      <c r="P262" s="342"/>
      <c r="Q262" s="342"/>
      <c r="R262" s="342"/>
      <c r="S262" s="342"/>
      <c r="T262" s="342"/>
    </row>
    <row r="263" spans="2:20" ht="15.75">
      <c r="B263" s="422"/>
      <c r="C263" s="332"/>
      <c r="D263" s="513"/>
      <c r="E263" s="428"/>
      <c r="F263" s="424" t="str">
        <f>F218</f>
        <v>Utilizing  Actual/Projected FERC Form 1 Data</v>
      </c>
      <c r="G263" s="329"/>
      <c r="H263" s="329"/>
      <c r="I263" s="329"/>
      <c r="J263" s="329"/>
      <c r="K263" s="326"/>
      <c r="L263" s="345"/>
      <c r="M263" s="512"/>
      <c r="N263" s="342"/>
      <c r="O263" s="342"/>
      <c r="P263" s="342"/>
      <c r="Q263" s="342"/>
      <c r="R263" s="342"/>
      <c r="S263" s="342"/>
      <c r="T263" s="342"/>
    </row>
    <row r="264" spans="2:20" ht="15.75">
      <c r="B264" s="331"/>
      <c r="C264" s="332"/>
      <c r="D264" s="513"/>
      <c r="E264" s="428"/>
      <c r="F264" s="424"/>
      <c r="G264" s="329"/>
      <c r="H264" s="329"/>
      <c r="I264" s="329"/>
      <c r="J264" s="329"/>
      <c r="K264" s="326"/>
      <c r="L264" s="345"/>
      <c r="M264" s="322"/>
      <c r="N264" s="342"/>
      <c r="O264" s="342"/>
      <c r="P264" s="342"/>
      <c r="Q264" s="342"/>
      <c r="R264" s="342"/>
      <c r="S264" s="342"/>
      <c r="T264" s="342"/>
    </row>
    <row r="265" spans="2:20" ht="15.75">
      <c r="B265" s="331"/>
      <c r="C265" s="332"/>
      <c r="D265" s="513"/>
      <c r="E265" s="428"/>
      <c r="F265" s="424" t="str">
        <f>F220</f>
        <v>Appalachian Power Company</v>
      </c>
      <c r="G265" s="329"/>
      <c r="H265" s="329"/>
      <c r="I265" s="329"/>
      <c r="J265" s="329"/>
      <c r="K265" s="326"/>
      <c r="L265" s="345"/>
      <c r="M265" s="322"/>
      <c r="N265" s="342"/>
      <c r="O265" s="342"/>
      <c r="P265" s="342"/>
      <c r="Q265" s="342"/>
      <c r="R265" s="342"/>
      <c r="S265" s="342"/>
      <c r="T265" s="342"/>
    </row>
    <row r="266" spans="2:20" ht="15.75">
      <c r="B266" s="331"/>
      <c r="C266" s="332"/>
      <c r="D266" s="513"/>
      <c r="E266" s="428"/>
      <c r="F266" s="424"/>
      <c r="G266" s="329"/>
      <c r="H266" s="329"/>
      <c r="I266" s="329"/>
      <c r="J266" s="329"/>
      <c r="K266" s="326"/>
      <c r="L266" s="345"/>
      <c r="M266" s="322"/>
      <c r="N266" s="342"/>
      <c r="O266" s="342"/>
      <c r="P266" s="342"/>
      <c r="Q266" s="342"/>
      <c r="R266" s="342"/>
      <c r="S266" s="342"/>
      <c r="T266" s="342"/>
    </row>
    <row r="267" spans="2:20" ht="15.75">
      <c r="B267" s="514" t="s">
        <v>177</v>
      </c>
      <c r="C267" s="339"/>
      <c r="D267" s="368"/>
      <c r="E267" s="342"/>
      <c r="F267" s="514" t="s">
        <v>176</v>
      </c>
      <c r="G267" s="347"/>
      <c r="H267" s="347"/>
      <c r="I267" s="347"/>
      <c r="J267" s="347"/>
      <c r="K267" s="342"/>
      <c r="L267" s="347"/>
      <c r="M267" s="322"/>
      <c r="N267" s="342"/>
      <c r="O267" s="342"/>
      <c r="P267" s="342"/>
      <c r="Q267" s="342"/>
      <c r="R267" s="342"/>
      <c r="S267" s="342"/>
      <c r="T267" s="342"/>
    </row>
    <row r="268" spans="2:20">
      <c r="C268" s="339"/>
      <c r="L268" s="345"/>
      <c r="M268" s="322"/>
      <c r="N268" s="342"/>
      <c r="O268" s="342"/>
      <c r="P268" s="342"/>
      <c r="Q268" s="342"/>
      <c r="R268" s="342"/>
      <c r="S268" s="342"/>
      <c r="T268" s="342"/>
    </row>
    <row r="269" spans="2:20">
      <c r="B269" s="331"/>
      <c r="C269" s="332"/>
      <c r="D269" s="323" t="s">
        <v>5</v>
      </c>
      <c r="E269" s="357"/>
      <c r="F269" s="357"/>
      <c r="G269" s="347"/>
      <c r="H269" s="347"/>
      <c r="I269" s="347"/>
      <c r="J269" s="347"/>
      <c r="K269" s="342"/>
      <c r="L269" s="347"/>
      <c r="M269" s="342"/>
      <c r="N269" s="342"/>
      <c r="O269" s="342"/>
      <c r="P269" s="342"/>
      <c r="Q269" s="342"/>
      <c r="R269" s="342"/>
      <c r="S269" s="342"/>
      <c r="T269" s="342"/>
    </row>
    <row r="270" spans="2:20">
      <c r="B270" s="317"/>
      <c r="D270" s="368"/>
      <c r="E270" s="342"/>
      <c r="F270" s="342"/>
      <c r="G270" s="347"/>
      <c r="H270" s="347"/>
      <c r="I270" s="347"/>
      <c r="J270" s="347"/>
      <c r="K270" s="342"/>
      <c r="L270" s="347"/>
      <c r="M270" s="342"/>
      <c r="N270" s="342"/>
      <c r="O270" s="342"/>
      <c r="P270" s="342"/>
      <c r="Q270" s="342"/>
      <c r="R270" s="342"/>
      <c r="S270" s="342"/>
      <c r="T270" s="342"/>
    </row>
    <row r="271" spans="2:20" ht="3.75" customHeight="1">
      <c r="B271" s="317"/>
      <c r="D271" s="368"/>
      <c r="E271" s="342"/>
      <c r="F271" s="342"/>
      <c r="G271" s="347"/>
      <c r="H271" s="347"/>
      <c r="I271" s="347"/>
      <c r="J271" s="347"/>
      <c r="K271" s="342"/>
      <c r="L271" s="347"/>
      <c r="M271" s="342"/>
      <c r="N271" s="342"/>
      <c r="O271" s="342"/>
      <c r="P271" s="342"/>
      <c r="Q271" s="342"/>
      <c r="R271" s="342"/>
      <c r="S271" s="342"/>
      <c r="T271" s="342"/>
    </row>
    <row r="272" spans="2:20">
      <c r="B272" s="515" t="s">
        <v>149</v>
      </c>
      <c r="C272" s="339"/>
      <c r="D272" s="368" t="s">
        <v>478</v>
      </c>
      <c r="E272" s="342"/>
      <c r="F272" s="342"/>
      <c r="G272" s="347"/>
      <c r="H272" s="347"/>
      <c r="I272" s="347"/>
      <c r="J272" s="347"/>
      <c r="K272" s="342"/>
      <c r="L272" s="347"/>
      <c r="M272" s="342"/>
      <c r="N272" s="342"/>
      <c r="O272" s="342"/>
      <c r="P272" s="342"/>
      <c r="Q272" s="342"/>
      <c r="R272" s="342"/>
      <c r="S272" s="342"/>
      <c r="T272" s="342"/>
    </row>
    <row r="273" spans="2:20">
      <c r="B273" s="515"/>
      <c r="C273" s="425"/>
      <c r="D273" s="368" t="s">
        <v>370</v>
      </c>
      <c r="E273" s="342"/>
      <c r="F273" s="342"/>
      <c r="G273" s="342"/>
      <c r="H273" s="342"/>
      <c r="I273" s="342"/>
      <c r="J273" s="342"/>
      <c r="K273" s="342"/>
      <c r="L273" s="342"/>
      <c r="M273" s="342"/>
      <c r="N273" s="342"/>
      <c r="O273" s="342"/>
      <c r="P273" s="342"/>
      <c r="Q273" s="342"/>
      <c r="R273" s="342"/>
      <c r="S273" s="342"/>
      <c r="T273" s="342"/>
    </row>
    <row r="274" spans="2:20">
      <c r="B274" s="516"/>
      <c r="C274" s="322"/>
      <c r="D274" s="317" t="s">
        <v>371</v>
      </c>
      <c r="E274" s="517"/>
      <c r="F274" s="517"/>
      <c r="G274" s="342"/>
      <c r="H274" s="342"/>
      <c r="I274" s="342"/>
      <c r="J274" s="342"/>
      <c r="K274" s="342"/>
      <c r="L274" s="342"/>
      <c r="M274" s="342"/>
      <c r="N274" s="342"/>
      <c r="O274" s="342"/>
      <c r="P274" s="342"/>
      <c r="Q274" s="342"/>
      <c r="R274" s="342"/>
      <c r="S274" s="342"/>
      <c r="T274" s="342"/>
    </row>
    <row r="275" spans="2:20">
      <c r="B275" s="516"/>
      <c r="C275" s="322"/>
      <c r="D275" s="368" t="s">
        <v>479</v>
      </c>
      <c r="E275" s="342"/>
      <c r="F275" s="342"/>
      <c r="G275" s="342"/>
      <c r="H275" s="342"/>
      <c r="I275" s="342"/>
      <c r="J275" s="342"/>
      <c r="K275" s="342"/>
      <c r="L275" s="342"/>
      <c r="M275" s="342"/>
      <c r="N275" s="342"/>
      <c r="O275" s="342"/>
      <c r="P275" s="342"/>
      <c r="Q275" s="342"/>
      <c r="R275" s="342"/>
      <c r="S275" s="342"/>
      <c r="T275" s="342"/>
    </row>
    <row r="276" spans="2:20">
      <c r="B276" s="356"/>
      <c r="C276" s="357"/>
      <c r="D276" s="368" t="s">
        <v>480</v>
      </c>
      <c r="E276" s="342"/>
      <c r="F276" s="342"/>
      <c r="G276" s="342"/>
      <c r="H276" s="342"/>
      <c r="I276" s="342"/>
      <c r="J276" s="342"/>
      <c r="K276" s="342"/>
      <c r="L276" s="342"/>
      <c r="M276" s="342"/>
      <c r="N276" s="342"/>
      <c r="O276" s="342"/>
      <c r="P276" s="342"/>
      <c r="Q276" s="342"/>
      <c r="R276" s="342"/>
      <c r="S276" s="342"/>
      <c r="T276" s="342"/>
    </row>
    <row r="277" spans="2:20">
      <c r="B277" s="356"/>
      <c r="C277" s="357"/>
      <c r="D277" s="368" t="s">
        <v>372</v>
      </c>
      <c r="E277" s="342"/>
      <c r="F277" s="342"/>
      <c r="G277" s="342"/>
      <c r="H277" s="342"/>
      <c r="I277" s="342"/>
      <c r="J277" s="342"/>
      <c r="K277" s="342"/>
      <c r="L277" s="342"/>
      <c r="M277" s="342"/>
      <c r="N277" s="342"/>
      <c r="O277" s="342"/>
      <c r="P277" s="342"/>
      <c r="Q277" s="342"/>
      <c r="R277" s="342"/>
      <c r="S277" s="342"/>
      <c r="T277" s="342"/>
    </row>
    <row r="278" spans="2:20">
      <c r="B278" s="356"/>
      <c r="C278" s="357"/>
      <c r="D278" s="368" t="s">
        <v>373</v>
      </c>
      <c r="E278" s="342"/>
      <c r="F278" s="342"/>
      <c r="G278" s="342"/>
      <c r="H278" s="342"/>
      <c r="I278" s="342"/>
      <c r="J278" s="342"/>
      <c r="K278" s="342"/>
      <c r="L278" s="342"/>
      <c r="M278" s="342"/>
      <c r="N278" s="342"/>
      <c r="O278" s="342"/>
      <c r="P278" s="342"/>
      <c r="Q278" s="342"/>
      <c r="R278" s="342"/>
      <c r="S278" s="342"/>
      <c r="T278" s="342"/>
    </row>
    <row r="279" spans="2:20" ht="45" customHeight="1">
      <c r="B279" s="356"/>
      <c r="C279" s="357"/>
      <c r="D279" s="1377" t="s">
        <v>576</v>
      </c>
      <c r="E279" s="1377"/>
      <c r="F279" s="1377"/>
      <c r="G279" s="1377"/>
      <c r="H279" s="1377"/>
      <c r="I279" s="1377"/>
      <c r="J279" s="1377"/>
      <c r="K279" s="1377"/>
      <c r="L279" s="1377"/>
      <c r="M279" s="342"/>
      <c r="N279" s="342"/>
      <c r="O279" s="342"/>
      <c r="P279" s="342"/>
      <c r="Q279" s="342"/>
      <c r="R279" s="342"/>
      <c r="S279" s="342"/>
      <c r="T279" s="342"/>
    </row>
    <row r="280" spans="2:20">
      <c r="B280" s="356"/>
      <c r="C280" s="357"/>
      <c r="D280" s="368" t="s">
        <v>488</v>
      </c>
      <c r="E280" s="342"/>
      <c r="F280" s="342"/>
      <c r="G280" s="342"/>
      <c r="H280" s="342"/>
      <c r="I280" s="342"/>
      <c r="J280" s="342"/>
      <c r="K280" s="342"/>
      <c r="L280" s="342"/>
      <c r="M280" s="342"/>
      <c r="N280" s="342"/>
      <c r="O280" s="342"/>
      <c r="P280" s="342"/>
      <c r="Q280" s="342"/>
      <c r="R280" s="342"/>
      <c r="S280" s="342"/>
      <c r="T280" s="342"/>
    </row>
    <row r="281" spans="2:20">
      <c r="B281" s="356"/>
      <c r="C281" s="357"/>
      <c r="D281" s="518"/>
      <c r="E281" s="342"/>
      <c r="F281" s="342"/>
      <c r="G281" s="342"/>
      <c r="H281" s="342"/>
      <c r="I281" s="342"/>
      <c r="J281" s="342"/>
      <c r="K281" s="342"/>
      <c r="L281" s="368"/>
      <c r="M281" s="342"/>
      <c r="N281" s="342"/>
      <c r="O281" s="342"/>
      <c r="P281" s="342"/>
      <c r="Q281" s="342"/>
      <c r="R281" s="342"/>
      <c r="S281" s="342"/>
      <c r="T281" s="342"/>
    </row>
    <row r="282" spans="2:20" ht="15" customHeight="1">
      <c r="B282" s="356" t="s">
        <v>150</v>
      </c>
      <c r="C282" s="357"/>
      <c r="D282" s="1378" t="s">
        <v>595</v>
      </c>
      <c r="E282" s="1378"/>
      <c r="F282" s="1378"/>
      <c r="G282" s="1378"/>
      <c r="H282" s="1378"/>
      <c r="I282" s="1378"/>
      <c r="J282" s="1378"/>
      <c r="K282" s="1378"/>
      <c r="L282" s="368"/>
      <c r="M282" s="342"/>
      <c r="N282" s="342"/>
      <c r="O282" s="342"/>
      <c r="P282" s="342"/>
      <c r="Q282" s="342"/>
      <c r="R282" s="342"/>
      <c r="S282" s="342"/>
      <c r="T282" s="342"/>
    </row>
    <row r="283" spans="2:20">
      <c r="B283" s="356"/>
      <c r="C283" s="357"/>
      <c r="D283" s="1378"/>
      <c r="E283" s="1378"/>
      <c r="F283" s="1378"/>
      <c r="G283" s="1378"/>
      <c r="H283" s="1378"/>
      <c r="I283" s="1378"/>
      <c r="J283" s="1378"/>
      <c r="K283" s="1378"/>
      <c r="L283" s="368"/>
      <c r="M283" s="342"/>
      <c r="N283" s="342"/>
      <c r="O283" s="342"/>
      <c r="P283" s="342"/>
      <c r="Q283" s="342"/>
      <c r="R283" s="342"/>
      <c r="S283" s="342"/>
      <c r="T283" s="342"/>
    </row>
    <row r="284" spans="2:20">
      <c r="E284" s="342"/>
      <c r="F284" s="342"/>
      <c r="G284" s="342"/>
      <c r="H284" s="342"/>
      <c r="I284" s="342"/>
      <c r="J284" s="342"/>
      <c r="K284" s="342"/>
      <c r="L284" s="342"/>
      <c r="M284" s="342"/>
      <c r="N284" s="342"/>
      <c r="O284" s="342"/>
      <c r="P284" s="342"/>
      <c r="Q284" s="342"/>
      <c r="R284" s="342"/>
      <c r="S284" s="342"/>
      <c r="T284" s="342"/>
    </row>
    <row r="285" spans="2:20">
      <c r="B285" s="356" t="s">
        <v>151</v>
      </c>
      <c r="C285" s="357"/>
      <c r="D285" s="519" t="s">
        <v>882</v>
      </c>
      <c r="E285" s="342"/>
      <c r="F285" s="342"/>
      <c r="G285" s="342"/>
      <c r="H285" s="342"/>
      <c r="I285" s="342"/>
      <c r="J285" s="342"/>
      <c r="K285" s="342"/>
      <c r="L285" s="342"/>
      <c r="M285" s="342"/>
      <c r="N285" s="342"/>
      <c r="O285" s="342"/>
      <c r="P285" s="342"/>
      <c r="Q285" s="342"/>
      <c r="R285" s="342"/>
      <c r="S285" s="342"/>
      <c r="T285" s="342"/>
    </row>
    <row r="286" spans="2:20">
      <c r="B286" s="356"/>
      <c r="C286" s="357"/>
      <c r="D286" s="519"/>
      <c r="E286" s="342"/>
      <c r="F286" s="342"/>
      <c r="G286" s="342"/>
      <c r="H286" s="342"/>
      <c r="I286" s="342"/>
      <c r="J286" s="342"/>
      <c r="K286" s="342"/>
      <c r="L286" s="342"/>
      <c r="M286" s="342"/>
      <c r="N286" s="342"/>
      <c r="O286" s="342"/>
      <c r="P286" s="342"/>
      <c r="Q286" s="342"/>
      <c r="R286" s="342"/>
      <c r="S286" s="342"/>
      <c r="T286" s="342"/>
    </row>
    <row r="287" spans="2:20" ht="15.6" customHeight="1">
      <c r="B287" s="356" t="s">
        <v>152</v>
      </c>
      <c r="C287" s="357"/>
      <c r="D287" s="1377" t="s">
        <v>578</v>
      </c>
      <c r="E287" s="1377"/>
      <c r="F287" s="1377"/>
      <c r="G287" s="1377"/>
      <c r="H287" s="1377"/>
      <c r="I287" s="1377"/>
      <c r="J287" s="1377"/>
      <c r="K287" s="1377"/>
      <c r="L287" s="1377"/>
      <c r="M287" s="342"/>
      <c r="N287" s="342"/>
      <c r="O287" s="368"/>
      <c r="P287" s="368"/>
      <c r="Q287" s="342"/>
      <c r="R287" s="342"/>
      <c r="S287" s="342"/>
      <c r="T287" s="342"/>
    </row>
    <row r="288" spans="2:20">
      <c r="B288" s="356"/>
      <c r="C288" s="357"/>
      <c r="D288" s="1377"/>
      <c r="E288" s="1377"/>
      <c r="F288" s="1377"/>
      <c r="G288" s="1377"/>
      <c r="H288" s="1377"/>
      <c r="I288" s="1377"/>
      <c r="J288" s="1377"/>
      <c r="K288" s="1377"/>
      <c r="L288" s="1377"/>
      <c r="M288" s="342"/>
      <c r="N288" s="342"/>
      <c r="O288" s="368"/>
      <c r="P288" s="368"/>
      <c r="Q288" s="342"/>
      <c r="R288" s="342"/>
      <c r="S288" s="342"/>
      <c r="T288" s="342"/>
    </row>
    <row r="289" spans="2:20">
      <c r="B289" s="356"/>
      <c r="C289" s="357"/>
      <c r="D289" s="368" t="s">
        <v>579</v>
      </c>
      <c r="E289" s="342"/>
      <c r="F289" s="342"/>
      <c r="G289" s="342"/>
      <c r="H289" s="342"/>
      <c r="I289" s="342"/>
      <c r="J289" s="342"/>
      <c r="K289" s="342"/>
      <c r="L289" s="475"/>
      <c r="M289" s="342"/>
      <c r="N289" s="342"/>
      <c r="O289" s="368"/>
      <c r="P289" s="368"/>
      <c r="Q289" s="342"/>
      <c r="R289" s="342"/>
      <c r="S289" s="342"/>
      <c r="T289" s="342"/>
    </row>
    <row r="290" spans="2:20">
      <c r="B290" s="356"/>
      <c r="C290" s="357"/>
      <c r="D290" s="368" t="s">
        <v>580</v>
      </c>
      <c r="E290" s="342"/>
      <c r="F290" s="342"/>
      <c r="G290" s="342"/>
      <c r="H290" s="342"/>
      <c r="I290" s="342"/>
      <c r="J290" s="342"/>
      <c r="K290" s="342"/>
      <c r="L290" s="475"/>
      <c r="M290" s="342"/>
      <c r="N290" s="342"/>
      <c r="O290" s="368"/>
      <c r="P290" s="342"/>
      <c r="Q290" s="342"/>
      <c r="R290" s="342"/>
      <c r="S290" s="342"/>
      <c r="T290" s="342"/>
    </row>
    <row r="291" spans="2:20" ht="30" customHeight="1">
      <c r="B291" s="356"/>
      <c r="C291" s="357"/>
      <c r="D291" s="1377" t="s">
        <v>577</v>
      </c>
      <c r="E291" s="1377"/>
      <c r="F291" s="1377"/>
      <c r="G291" s="1377"/>
      <c r="H291" s="1377"/>
      <c r="I291" s="1377"/>
      <c r="J291" s="1377"/>
      <c r="K291" s="1377"/>
      <c r="L291" s="1377"/>
      <c r="M291" s="342"/>
      <c r="N291" s="342"/>
      <c r="O291" s="368"/>
      <c r="P291" s="342"/>
      <c r="Q291" s="342"/>
      <c r="R291" s="342"/>
      <c r="S291" s="342"/>
      <c r="T291" s="342"/>
    </row>
    <row r="292" spans="2:20" ht="21.75" customHeight="1">
      <c r="B292" s="356" t="s">
        <v>153</v>
      </c>
      <c r="C292" s="368"/>
      <c r="D292" s="368" t="str">
        <f>"Cash Working Capital assigned to transmission is one-eighth of O&amp;M allocated to transmission, as shown on line "&amp;B149&amp;". It excludes:"</f>
        <v>Cash Working Capital assigned to transmission is one-eighth of O&amp;M allocated to transmission, as shown on line 78. It excludes:</v>
      </c>
      <c r="E292" s="520"/>
      <c r="F292" s="520"/>
      <c r="G292" s="520"/>
      <c r="H292" s="520"/>
      <c r="I292" s="520"/>
      <c r="J292" s="520"/>
      <c r="K292" s="520"/>
      <c r="L292" s="520"/>
      <c r="M292" s="342"/>
      <c r="N292" s="342"/>
      <c r="O292" s="342"/>
      <c r="P292" s="342"/>
      <c r="Q292" s="342"/>
      <c r="R292" s="342"/>
      <c r="S292" s="342"/>
      <c r="T292" s="342"/>
    </row>
    <row r="293" spans="2:20">
      <c r="B293" s="356"/>
      <c r="C293" s="368"/>
      <c r="D293" s="521"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3" s="402"/>
      <c r="F293" s="402"/>
      <c r="G293" s="402"/>
      <c r="H293" s="402"/>
      <c r="I293" s="402"/>
      <c r="J293" s="402"/>
      <c r="K293" s="402"/>
      <c r="L293" s="402"/>
      <c r="M293" s="342"/>
      <c r="N293" s="342"/>
      <c r="O293" s="342"/>
      <c r="P293" s="342"/>
      <c r="Q293" s="342"/>
      <c r="R293" s="342"/>
      <c r="S293" s="342"/>
      <c r="T293" s="342"/>
    </row>
    <row r="294" spans="2:20">
      <c r="B294" s="356"/>
      <c r="C294" s="368"/>
      <c r="D294" s="522" t="str">
        <f>+"2)  Costs of Transmission of Electricity by Others, as described in Note H."</f>
        <v>2)  Costs of Transmission of Electricity by Others, as described in Note H.</v>
      </c>
      <c r="E294" s="520"/>
      <c r="F294" s="520"/>
      <c r="G294" s="520"/>
      <c r="H294" s="520"/>
      <c r="I294" s="520"/>
      <c r="J294" s="520"/>
      <c r="K294" s="520"/>
      <c r="L294" s="520"/>
      <c r="M294" s="342"/>
      <c r="N294" s="342"/>
      <c r="O294" s="342"/>
      <c r="P294" s="342"/>
      <c r="Q294" s="342"/>
      <c r="R294" s="342"/>
      <c r="S294" s="342"/>
      <c r="T294" s="342"/>
    </row>
    <row r="295" spans="2:20">
      <c r="B295" s="356"/>
      <c r="C295" s="368"/>
      <c r="D295" s="521" t="str">
        <f>+"3)  The impact of state regulatory deferrals and amortizations, as shown on line  "&amp;B148&amp;""</f>
        <v>3)  The impact of state regulatory deferrals and amortizations, as shown on line  77</v>
      </c>
      <c r="E295" s="402"/>
      <c r="F295" s="402"/>
      <c r="G295" s="402"/>
      <c r="H295" s="402"/>
      <c r="I295" s="402"/>
      <c r="J295" s="402"/>
      <c r="K295" s="402"/>
      <c r="L295" s="402"/>
      <c r="M295" s="342"/>
      <c r="N295" s="342"/>
      <c r="O295" s="342"/>
      <c r="P295" s="342"/>
      <c r="Q295" s="342"/>
      <c r="R295" s="342"/>
      <c r="S295" s="342"/>
      <c r="T295" s="342"/>
    </row>
    <row r="296" spans="2:20">
      <c r="B296" s="356"/>
      <c r="C296" s="402"/>
      <c r="D296" s="522" t="str">
        <f>"4) All A&amp;G Expenses, as shown on line "&amp;B165&amp;"."</f>
        <v>4) All A&amp;G Expenses, as shown on line 93.</v>
      </c>
      <c r="E296" s="520"/>
      <c r="F296" s="520"/>
      <c r="G296" s="520"/>
      <c r="H296" s="520"/>
      <c r="I296" s="520"/>
      <c r="J296" s="520"/>
      <c r="K296" s="520"/>
      <c r="L296" s="520"/>
      <c r="M296" s="342"/>
      <c r="N296" s="342"/>
      <c r="O296" s="342"/>
      <c r="P296" s="342"/>
      <c r="Q296" s="342"/>
      <c r="R296" s="342"/>
      <c r="S296" s="342"/>
      <c r="T296" s="342"/>
    </row>
    <row r="297" spans="2:20">
      <c r="B297" s="356"/>
      <c r="C297" s="357"/>
      <c r="D297" s="521"/>
      <c r="E297" s="523"/>
      <c r="F297" s="523"/>
      <c r="G297" s="523"/>
      <c r="H297" s="523"/>
      <c r="I297" s="523"/>
      <c r="J297" s="523"/>
      <c r="K297" s="523"/>
      <c r="L297" s="523"/>
      <c r="M297" s="342"/>
      <c r="N297" s="342"/>
      <c r="O297" s="342"/>
      <c r="P297" s="342"/>
      <c r="Q297" s="342"/>
      <c r="R297" s="342"/>
      <c r="S297" s="342"/>
      <c r="T297" s="342"/>
    </row>
    <row r="298" spans="2:20">
      <c r="B298" s="515" t="s">
        <v>154</v>
      </c>
      <c r="C298" s="425"/>
      <c r="D298" s="524"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8" s="524"/>
      <c r="F298" s="524"/>
      <c r="G298" s="524"/>
      <c r="H298" s="524"/>
      <c r="I298" s="524"/>
      <c r="J298" s="524"/>
      <c r="K298" s="524"/>
      <c r="L298" s="524"/>
      <c r="M298" s="342"/>
      <c r="N298" s="342"/>
      <c r="O298" s="342"/>
      <c r="P298" s="342"/>
      <c r="Q298" s="342"/>
      <c r="R298" s="342"/>
      <c r="S298" s="342"/>
      <c r="T298" s="342"/>
    </row>
    <row r="299" spans="2:20">
      <c r="B299" s="516"/>
      <c r="C299" s="322"/>
      <c r="D299" s="524" t="s">
        <v>219</v>
      </c>
      <c r="E299" s="524"/>
      <c r="F299" s="524"/>
      <c r="G299" s="524"/>
      <c r="H299" s="524"/>
      <c r="I299" s="524"/>
      <c r="J299" s="524"/>
      <c r="K299" s="524"/>
      <c r="L299" s="524"/>
      <c r="M299" s="342"/>
      <c r="N299" s="342"/>
      <c r="O299" s="342"/>
      <c r="P299" s="342"/>
      <c r="Q299" s="342"/>
      <c r="R299" s="342"/>
      <c r="S299" s="342"/>
      <c r="T299" s="342"/>
    </row>
    <row r="300" spans="2:20">
      <c r="B300" s="516"/>
      <c r="C300" s="322"/>
      <c r="D300" s="524" t="str">
        <f>"expense is included on line "&amp;B207&amp;"."</f>
        <v>expense is included on line 127.</v>
      </c>
      <c r="E300" s="524"/>
      <c r="F300" s="524"/>
      <c r="G300" s="524"/>
      <c r="H300" s="524"/>
      <c r="I300" s="524"/>
      <c r="J300" s="524"/>
      <c r="K300" s="524"/>
      <c r="L300" s="524"/>
      <c r="M300" s="342"/>
      <c r="N300" s="342"/>
      <c r="O300" s="342"/>
      <c r="P300" s="342"/>
      <c r="Q300" s="342"/>
      <c r="R300" s="342"/>
      <c r="S300" s="342"/>
      <c r="T300" s="342"/>
    </row>
    <row r="301" spans="2:20">
      <c r="B301" s="516"/>
      <c r="C301" s="322"/>
      <c r="D301" s="524"/>
      <c r="E301" s="524"/>
      <c r="F301" s="524"/>
      <c r="G301" s="524"/>
      <c r="H301" s="524"/>
      <c r="I301" s="524"/>
      <c r="J301" s="524"/>
      <c r="K301" s="524"/>
      <c r="L301" s="524"/>
      <c r="M301" s="322"/>
      <c r="N301" s="342"/>
      <c r="O301" s="342"/>
      <c r="P301" s="342"/>
      <c r="Q301" s="342"/>
      <c r="R301" s="342"/>
      <c r="S301" s="342"/>
      <c r="T301" s="342"/>
    </row>
    <row r="302" spans="2:20" ht="15.6" customHeight="1">
      <c r="B302" s="515" t="s">
        <v>155</v>
      </c>
      <c r="C302" s="322"/>
      <c r="D302" s="1388"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2" s="1388"/>
      <c r="F302" s="1388"/>
      <c r="G302" s="1388"/>
      <c r="H302" s="1388"/>
      <c r="I302" s="1388"/>
      <c r="J302" s="1388"/>
      <c r="K302" s="1388"/>
      <c r="L302" s="524"/>
      <c r="M302" s="322"/>
      <c r="N302" s="342"/>
      <c r="O302" s="342"/>
      <c r="P302" s="342"/>
      <c r="Q302" s="342"/>
      <c r="R302" s="342"/>
      <c r="S302" s="342"/>
      <c r="T302" s="342"/>
    </row>
    <row r="303" spans="2:20">
      <c r="B303" s="515"/>
      <c r="C303" s="322"/>
      <c r="D303" s="1388"/>
      <c r="E303" s="1388"/>
      <c r="F303" s="1388"/>
      <c r="G303" s="1388"/>
      <c r="H303" s="1388"/>
      <c r="I303" s="1388"/>
      <c r="J303" s="1388"/>
      <c r="K303" s="1388"/>
      <c r="L303" s="524"/>
      <c r="M303" s="322"/>
      <c r="N303" s="342"/>
      <c r="O303" s="342"/>
      <c r="P303" s="342"/>
      <c r="Q303" s="342"/>
      <c r="R303" s="342"/>
      <c r="S303" s="342"/>
      <c r="T303" s="342"/>
    </row>
    <row r="304" spans="2:20">
      <c r="B304" s="515"/>
      <c r="C304" s="322"/>
      <c r="D304" s="1388"/>
      <c r="E304" s="1388"/>
      <c r="F304" s="1388"/>
      <c r="G304" s="1388"/>
      <c r="H304" s="1388"/>
      <c r="I304" s="1388"/>
      <c r="J304" s="1388"/>
      <c r="K304" s="1388"/>
      <c r="L304" s="524"/>
      <c r="M304" s="322"/>
      <c r="N304" s="342"/>
      <c r="O304" s="342"/>
      <c r="P304" s="342"/>
      <c r="Q304" s="342"/>
      <c r="R304" s="342"/>
      <c r="S304" s="342"/>
      <c r="T304" s="342"/>
    </row>
    <row r="305" spans="2:20">
      <c r="B305" s="515"/>
      <c r="C305" s="322"/>
      <c r="D305" s="521"/>
      <c r="E305" s="524"/>
      <c r="F305" s="524"/>
      <c r="G305" s="524"/>
      <c r="H305" s="524"/>
      <c r="I305" s="524"/>
      <c r="J305" s="524"/>
      <c r="K305" s="524"/>
      <c r="L305" s="524"/>
      <c r="M305" s="322"/>
      <c r="N305" s="342"/>
      <c r="O305" s="342"/>
      <c r="P305" s="342"/>
      <c r="Q305" s="342"/>
      <c r="R305" s="342"/>
      <c r="S305" s="342"/>
      <c r="T305" s="342"/>
    </row>
    <row r="306" spans="2:20" ht="15.6" customHeight="1">
      <c r="B306" s="515" t="s">
        <v>156</v>
      </c>
      <c r="C306" s="322"/>
      <c r="D306" s="1383"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6" s="1383"/>
      <c r="F306" s="1383"/>
      <c r="G306" s="1383"/>
      <c r="H306" s="1383"/>
      <c r="I306" s="1383"/>
      <c r="J306" s="1383"/>
      <c r="K306" s="1383"/>
      <c r="L306" s="524"/>
      <c r="M306" s="322"/>
      <c r="N306" s="342"/>
      <c r="O306" s="342"/>
      <c r="P306" s="342"/>
      <c r="Q306" s="342"/>
      <c r="R306" s="342"/>
      <c r="S306" s="342"/>
      <c r="T306" s="342"/>
    </row>
    <row r="307" spans="2:20">
      <c r="B307" s="515"/>
      <c r="C307" s="322"/>
      <c r="D307" s="1383"/>
      <c r="E307" s="1383"/>
      <c r="F307" s="1383"/>
      <c r="G307" s="1383"/>
      <c r="H307" s="1383"/>
      <c r="I307" s="1383"/>
      <c r="J307" s="1383"/>
      <c r="K307" s="1383"/>
      <c r="L307" s="524"/>
      <c r="M307" s="322"/>
      <c r="N307" s="342"/>
      <c r="O307" s="342"/>
      <c r="P307" s="342"/>
      <c r="Q307" s="342"/>
      <c r="R307" s="342"/>
      <c r="S307" s="342"/>
      <c r="T307" s="342"/>
    </row>
    <row r="308" spans="2:20">
      <c r="B308" s="515"/>
      <c r="C308" s="322"/>
      <c r="D308" s="1383"/>
      <c r="E308" s="1383"/>
      <c r="F308" s="1383"/>
      <c r="G308" s="1383"/>
      <c r="H308" s="1383"/>
      <c r="I308" s="1383"/>
      <c r="J308" s="1383"/>
      <c r="K308" s="1383"/>
      <c r="L308" s="524"/>
      <c r="M308" s="322"/>
      <c r="N308" s="342"/>
      <c r="O308" s="342"/>
      <c r="P308" s="342"/>
      <c r="Q308" s="342"/>
      <c r="R308" s="342"/>
      <c r="S308" s="342"/>
      <c r="T308" s="342"/>
    </row>
    <row r="309" spans="2:20" ht="15.6" customHeight="1">
      <c r="B309" s="515"/>
      <c r="C309" s="322"/>
      <c r="D309" s="1387"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9" s="1387"/>
      <c r="F309" s="1387"/>
      <c r="G309" s="1387"/>
      <c r="H309" s="1387"/>
      <c r="I309" s="1387"/>
      <c r="J309" s="1387"/>
      <c r="K309" s="525"/>
      <c r="L309" s="524"/>
      <c r="M309" s="322"/>
      <c r="N309" s="342"/>
      <c r="O309" s="342"/>
      <c r="P309" s="342"/>
      <c r="Q309" s="342"/>
      <c r="R309" s="342"/>
      <c r="S309" s="342"/>
      <c r="T309" s="342"/>
    </row>
    <row r="310" spans="2:20">
      <c r="B310" s="515"/>
      <c r="C310" s="322"/>
      <c r="D310" s="1387"/>
      <c r="E310" s="1387"/>
      <c r="F310" s="1387"/>
      <c r="G310" s="1387"/>
      <c r="H310" s="1387"/>
      <c r="I310" s="1387"/>
      <c r="J310" s="1387"/>
      <c r="K310" s="525"/>
      <c r="L310" s="524"/>
      <c r="M310" s="322"/>
      <c r="N310" s="342"/>
      <c r="O310" s="342"/>
      <c r="P310" s="342"/>
      <c r="Q310" s="342"/>
      <c r="R310" s="342"/>
      <c r="S310" s="342"/>
      <c r="T310" s="342"/>
    </row>
    <row r="311" spans="2:20">
      <c r="B311" s="515"/>
      <c r="C311" s="322"/>
      <c r="D311" s="524" t="str">
        <f>"The company records referenced on line "&amp;B168&amp;" is the "&amp;F9&amp;" general ledger."</f>
        <v>The company records referenced on line 95 is the Appalachian Power Company general ledger.</v>
      </c>
      <c r="E311" s="526"/>
      <c r="F311" s="526"/>
      <c r="G311" s="526"/>
      <c r="H311" s="526"/>
      <c r="I311" s="526"/>
      <c r="J311" s="526"/>
      <c r="K311" s="526"/>
      <c r="L311" s="524"/>
      <c r="M311" s="322"/>
      <c r="N311" s="342"/>
      <c r="O311" s="342"/>
      <c r="P311" s="342"/>
      <c r="Q311" s="342"/>
      <c r="R311" s="342"/>
      <c r="S311" s="342"/>
      <c r="T311" s="342"/>
    </row>
    <row r="312" spans="2:20">
      <c r="B312" s="515"/>
      <c r="C312" s="322"/>
      <c r="D312" s="524"/>
      <c r="E312" s="526"/>
      <c r="F312" s="526"/>
      <c r="G312" s="526"/>
      <c r="H312" s="526"/>
      <c r="I312" s="526"/>
      <c r="J312" s="526"/>
      <c r="K312" s="526"/>
      <c r="L312" s="524"/>
      <c r="M312" s="322"/>
      <c r="N312" s="342"/>
      <c r="O312" s="342"/>
      <c r="P312" s="342"/>
      <c r="Q312" s="342"/>
      <c r="R312" s="342"/>
      <c r="S312" s="342"/>
      <c r="T312" s="342"/>
    </row>
    <row r="313" spans="2:20">
      <c r="B313" s="515" t="s">
        <v>157</v>
      </c>
      <c r="C313" s="322"/>
      <c r="D313" s="322" t="s">
        <v>581</v>
      </c>
      <c r="E313" s="372"/>
      <c r="F313" s="372"/>
      <c r="G313" s="372"/>
      <c r="H313" s="372"/>
      <c r="I313" s="372"/>
      <c r="J313" s="372"/>
      <c r="K313" s="372"/>
      <c r="L313" s="527"/>
      <c r="M313" s="322"/>
      <c r="N313" s="342"/>
      <c r="O313" s="342"/>
      <c r="P313" s="342"/>
      <c r="Q313" s="342"/>
      <c r="R313" s="342"/>
      <c r="S313" s="342"/>
      <c r="T313" s="342"/>
    </row>
    <row r="314" spans="2:20">
      <c r="B314" s="515"/>
      <c r="C314" s="322"/>
      <c r="D314" s="527"/>
      <c r="E314" s="527"/>
      <c r="F314" s="527"/>
      <c r="G314" s="527"/>
      <c r="H314" s="527"/>
      <c r="I314" s="527"/>
      <c r="J314" s="527"/>
      <c r="K314" s="527"/>
      <c r="L314" s="527"/>
      <c r="M314" s="322"/>
      <c r="N314" s="342"/>
      <c r="O314" s="342"/>
      <c r="P314" s="342"/>
      <c r="Q314" s="342"/>
      <c r="R314" s="342"/>
      <c r="S314" s="342"/>
      <c r="T314" s="342"/>
    </row>
    <row r="315" spans="2:20" ht="15.6" customHeight="1">
      <c r="B315" s="515" t="s">
        <v>158</v>
      </c>
      <c r="C315" s="322"/>
      <c r="D315" s="1382" t="s">
        <v>48</v>
      </c>
      <c r="E315" s="1382"/>
      <c r="F315" s="1382"/>
      <c r="G315" s="1382"/>
      <c r="H315" s="1382"/>
      <c r="I315" s="1382"/>
      <c r="J315" s="1382"/>
      <c r="K315" s="524"/>
      <c r="L315" s="524"/>
      <c r="M315" s="322"/>
      <c r="N315" s="342"/>
      <c r="O315" s="342"/>
      <c r="P315" s="342"/>
      <c r="Q315" s="342"/>
      <c r="R315" s="342"/>
      <c r="S315" s="342"/>
      <c r="T315" s="342"/>
    </row>
    <row r="316" spans="2:20">
      <c r="B316" s="515"/>
      <c r="C316" s="322"/>
      <c r="D316" s="1382"/>
      <c r="E316" s="1382"/>
      <c r="F316" s="1382"/>
      <c r="G316" s="1382"/>
      <c r="H316" s="1382"/>
      <c r="I316" s="1382"/>
      <c r="J316" s="1382"/>
      <c r="K316" s="527"/>
      <c r="L316" s="527"/>
      <c r="M316" s="322"/>
      <c r="N316" s="342"/>
      <c r="O316" s="342"/>
      <c r="P316" s="342"/>
      <c r="Q316" s="342"/>
      <c r="R316" s="342"/>
      <c r="S316" s="342"/>
      <c r="T316" s="342"/>
    </row>
    <row r="317" spans="2:20">
      <c r="B317" s="515"/>
      <c r="C317" s="322"/>
      <c r="D317" s="1382"/>
      <c r="E317" s="1382"/>
      <c r="F317" s="1382"/>
      <c r="G317" s="1382"/>
      <c r="H317" s="1382"/>
      <c r="I317" s="1382"/>
      <c r="J317" s="1382"/>
      <c r="K317" s="524"/>
      <c r="L317" s="524"/>
      <c r="M317" s="322"/>
      <c r="N317" s="342"/>
      <c r="O317" s="342"/>
      <c r="P317" s="342"/>
      <c r="Q317" s="342"/>
      <c r="R317" s="342"/>
      <c r="S317" s="342"/>
      <c r="T317" s="342"/>
    </row>
    <row r="318" spans="2:20">
      <c r="B318" s="515"/>
      <c r="C318" s="322"/>
      <c r="D318" s="524"/>
      <c r="E318" s="524"/>
      <c r="F318" s="524"/>
      <c r="G318" s="524"/>
      <c r="H318" s="524"/>
      <c r="I318" s="524"/>
      <c r="J318" s="524"/>
      <c r="K318" s="524"/>
      <c r="L318" s="524"/>
      <c r="M318" s="322"/>
      <c r="N318" s="342"/>
      <c r="O318" s="342"/>
      <c r="P318" s="342"/>
      <c r="Q318" s="342"/>
      <c r="R318" s="342"/>
      <c r="S318" s="342"/>
      <c r="T318" s="342"/>
    </row>
    <row r="319" spans="2:20" ht="15.6" customHeight="1">
      <c r="B319" s="1107" t="s">
        <v>159</v>
      </c>
      <c r="C319" s="1108"/>
      <c r="D319" s="1381" t="s">
        <v>877</v>
      </c>
      <c r="E319" s="1381"/>
      <c r="F319" s="1381"/>
      <c r="G319" s="1381"/>
      <c r="H319" s="1381"/>
      <c r="I319" s="1381"/>
      <c r="J319" s="1381"/>
      <c r="K319" s="1381"/>
      <c r="L319" s="527"/>
      <c r="M319" s="322"/>
      <c r="N319" s="342"/>
      <c r="O319" s="342"/>
      <c r="P319" s="342"/>
      <c r="Q319" s="342"/>
      <c r="R319" s="342"/>
      <c r="S319" s="342"/>
      <c r="T319" s="342"/>
    </row>
    <row r="320" spans="2:20" ht="15.75">
      <c r="B320" s="1081"/>
      <c r="C320" s="1108"/>
      <c r="D320" s="1381"/>
      <c r="E320" s="1381"/>
      <c r="F320" s="1381"/>
      <c r="G320" s="1381"/>
      <c r="H320" s="1381"/>
      <c r="I320" s="1381"/>
      <c r="J320" s="1381"/>
      <c r="K320" s="1381"/>
      <c r="L320" s="524"/>
      <c r="M320" s="322"/>
      <c r="N320" s="342"/>
      <c r="O320" s="342"/>
      <c r="P320" s="342"/>
      <c r="Q320" s="342"/>
      <c r="R320" s="342"/>
      <c r="S320" s="342"/>
      <c r="T320" s="342"/>
    </row>
    <row r="321" spans="2:20">
      <c r="B321" s="515"/>
      <c r="C321" s="322"/>
      <c r="D321" s="524"/>
      <c r="E321" s="524"/>
      <c r="F321" s="524"/>
      <c r="G321" s="524"/>
      <c r="H321" s="524"/>
      <c r="I321" s="524"/>
      <c r="J321" s="524"/>
      <c r="K321" s="524"/>
      <c r="L321" s="524"/>
      <c r="M321" s="322"/>
      <c r="N321" s="342"/>
      <c r="O321" s="342"/>
      <c r="P321" s="342"/>
      <c r="Q321" s="342"/>
      <c r="R321" s="342"/>
      <c r="S321" s="342"/>
      <c r="T321" s="342"/>
    </row>
    <row r="322" spans="2:20" ht="15.6" customHeight="1">
      <c r="B322" s="356" t="s">
        <v>160</v>
      </c>
      <c r="C322" s="357"/>
      <c r="D322" s="1377" t="s">
        <v>582</v>
      </c>
      <c r="E322" s="1377"/>
      <c r="F322" s="1377"/>
      <c r="G322" s="1377"/>
      <c r="H322" s="1377"/>
      <c r="I322" s="1377"/>
      <c r="J322" s="1377"/>
      <c r="K322" s="1377"/>
      <c r="L322" s="1377"/>
      <c r="M322" s="322"/>
      <c r="N322" s="342"/>
      <c r="O322" s="342"/>
      <c r="P322" s="342"/>
      <c r="Q322" s="342"/>
      <c r="R322" s="342"/>
      <c r="S322" s="342"/>
      <c r="T322" s="342"/>
    </row>
    <row r="323" spans="2:20">
      <c r="B323" s="356"/>
      <c r="C323" s="357"/>
      <c r="D323" s="1377"/>
      <c r="E323" s="1377"/>
      <c r="F323" s="1377"/>
      <c r="G323" s="1377"/>
      <c r="H323" s="1377"/>
      <c r="I323" s="1377"/>
      <c r="J323" s="1377"/>
      <c r="K323" s="1377"/>
      <c r="L323" s="1377"/>
      <c r="M323" s="322"/>
      <c r="N323" s="342"/>
      <c r="O323" s="342"/>
      <c r="P323" s="342"/>
      <c r="Q323" s="342"/>
      <c r="R323" s="342"/>
      <c r="S323" s="342"/>
      <c r="T323" s="342"/>
    </row>
    <row r="324" spans="2:20">
      <c r="B324" s="356"/>
      <c r="C324" s="357"/>
      <c r="D324" s="1377"/>
      <c r="E324" s="1377"/>
      <c r="F324" s="1377"/>
      <c r="G324" s="1377"/>
      <c r="H324" s="1377"/>
      <c r="I324" s="1377"/>
      <c r="J324" s="1377"/>
      <c r="K324" s="1377"/>
      <c r="L324" s="1377"/>
      <c r="M324" s="322"/>
      <c r="N324" s="342"/>
      <c r="O324" s="342"/>
      <c r="P324" s="342"/>
      <c r="Q324" s="342"/>
      <c r="R324" s="342"/>
      <c r="S324" s="342"/>
      <c r="T324" s="342"/>
    </row>
    <row r="325" spans="2:20">
      <c r="B325" s="356"/>
      <c r="C325" s="357"/>
      <c r="D325" s="1377"/>
      <c r="E325" s="1377"/>
      <c r="F325" s="1377"/>
      <c r="G325" s="1377"/>
      <c r="H325" s="1377"/>
      <c r="I325" s="1377"/>
      <c r="J325" s="1377"/>
      <c r="K325" s="1377"/>
      <c r="L325" s="1377"/>
      <c r="M325" s="322"/>
      <c r="N325" s="342"/>
      <c r="O325" s="342"/>
      <c r="P325" s="342"/>
      <c r="Q325" s="342"/>
      <c r="R325" s="342"/>
      <c r="S325" s="342"/>
      <c r="T325" s="342"/>
    </row>
    <row r="326" spans="2:20">
      <c r="B326" s="356"/>
      <c r="C326" s="357"/>
      <c r="D326" s="524"/>
      <c r="E326" s="523"/>
      <c r="F326" s="523"/>
      <c r="G326" s="523"/>
      <c r="H326" s="523"/>
      <c r="I326" s="523"/>
      <c r="J326" s="523"/>
      <c r="K326" s="523"/>
      <c r="L326" s="523"/>
      <c r="M326" s="322"/>
      <c r="N326" s="342"/>
      <c r="O326" s="342"/>
      <c r="P326" s="342"/>
      <c r="Q326" s="342"/>
      <c r="R326" s="342"/>
      <c r="S326" s="342"/>
      <c r="T326" s="342"/>
    </row>
    <row r="327" spans="2:20" ht="15" customHeight="1">
      <c r="B327" s="356" t="s">
        <v>161</v>
      </c>
      <c r="C327" s="357"/>
      <c r="D327" s="1380" t="s">
        <v>875</v>
      </c>
      <c r="E327" s="1380"/>
      <c r="F327" s="1380"/>
      <c r="G327" s="1380"/>
      <c r="H327" s="1380"/>
      <c r="I327" s="1380"/>
      <c r="J327" s="1380"/>
      <c r="K327" s="1380"/>
      <c r="L327" s="1380"/>
      <c r="M327" s="322"/>
      <c r="N327" s="342"/>
      <c r="O327" s="342"/>
      <c r="P327" s="342"/>
      <c r="Q327" s="342"/>
      <c r="R327" s="342"/>
      <c r="S327" s="342"/>
      <c r="T327" s="342"/>
    </row>
    <row r="328" spans="2:20">
      <c r="B328" s="356"/>
      <c r="C328" s="357"/>
      <c r="D328" s="1380"/>
      <c r="E328" s="1380"/>
      <c r="F328" s="1380"/>
      <c r="G328" s="1380"/>
      <c r="H328" s="1380"/>
      <c r="I328" s="1380"/>
      <c r="J328" s="1380"/>
      <c r="K328" s="1380"/>
      <c r="L328" s="1380"/>
      <c r="M328" s="322"/>
      <c r="N328" s="342"/>
      <c r="O328" s="342"/>
      <c r="P328" s="342"/>
      <c r="Q328" s="342"/>
      <c r="R328" s="342"/>
      <c r="S328" s="342"/>
      <c r="T328" s="342"/>
    </row>
    <row r="329" spans="2:20">
      <c r="B329" s="356"/>
      <c r="C329" s="357"/>
      <c r="D329" s="1380"/>
      <c r="E329" s="1380"/>
      <c r="F329" s="1380"/>
      <c r="G329" s="1380"/>
      <c r="H329" s="1380"/>
      <c r="I329" s="1380"/>
      <c r="J329" s="1380"/>
      <c r="K329" s="1380"/>
      <c r="L329" s="1380"/>
      <c r="M329" s="322"/>
      <c r="N329" s="342"/>
      <c r="O329" s="342"/>
      <c r="P329" s="342"/>
      <c r="Q329" s="342"/>
      <c r="R329" s="342"/>
      <c r="S329" s="342"/>
      <c r="T329" s="342"/>
    </row>
    <row r="330" spans="2:20">
      <c r="B330" s="356"/>
      <c r="C330" s="357"/>
      <c r="D330" s="467"/>
      <c r="E330" s="342"/>
      <c r="F330" s="342"/>
      <c r="G330" s="342"/>
      <c r="H330" s="342"/>
      <c r="I330" s="342"/>
      <c r="J330" s="342"/>
      <c r="K330" s="342"/>
      <c r="L330" s="342"/>
      <c r="M330" s="322"/>
      <c r="N330" s="342"/>
      <c r="O330" s="342"/>
      <c r="P330" s="342"/>
      <c r="Q330" s="342"/>
      <c r="R330" s="342"/>
      <c r="S330" s="342"/>
      <c r="T330" s="342"/>
    </row>
    <row r="331" spans="2:20">
      <c r="B331" s="424" t="s">
        <v>246</v>
      </c>
      <c r="C331" s="357"/>
      <c r="D331" s="368" t="s">
        <v>356</v>
      </c>
      <c r="E331" s="325"/>
      <c r="F331" s="325"/>
      <c r="G331" s="325"/>
      <c r="H331" s="325"/>
      <c r="I331" s="325"/>
      <c r="J331" s="325"/>
      <c r="K331" s="322"/>
      <c r="L331" s="322"/>
      <c r="M331" s="322"/>
      <c r="N331" s="342"/>
      <c r="O331" s="342"/>
      <c r="P331" s="342"/>
      <c r="Q331" s="342"/>
      <c r="R331" s="342"/>
      <c r="S331" s="342"/>
      <c r="T331" s="342"/>
    </row>
    <row r="332" spans="2:20">
      <c r="B332" s="424"/>
      <c r="C332" s="357"/>
      <c r="D332" s="325"/>
      <c r="E332" s="325"/>
      <c r="F332" s="325"/>
      <c r="G332" s="325"/>
      <c r="H332" s="325"/>
      <c r="I332" s="325"/>
      <c r="J332" s="325"/>
      <c r="K332" s="322"/>
      <c r="L332" s="322"/>
      <c r="M332" s="322"/>
      <c r="N332" s="342"/>
      <c r="O332" s="342"/>
      <c r="P332" s="342"/>
      <c r="Q332" s="342"/>
      <c r="R332" s="342"/>
      <c r="S332" s="342"/>
      <c r="T332" s="342"/>
    </row>
    <row r="333" spans="2:20">
      <c r="B333" s="356" t="s">
        <v>305</v>
      </c>
      <c r="C333" s="357"/>
      <c r="D333" s="368" t="s">
        <v>345</v>
      </c>
      <c r="E333" s="322"/>
      <c r="F333" s="322"/>
      <c r="G333" s="322"/>
      <c r="H333" s="322"/>
      <c r="I333" s="322"/>
      <c r="J333" s="322"/>
      <c r="K333" s="322"/>
      <c r="L333" s="322"/>
      <c r="M333" s="322"/>
      <c r="N333" s="342"/>
      <c r="O333" s="342"/>
      <c r="P333" s="342"/>
      <c r="Q333" s="342"/>
      <c r="R333" s="342"/>
      <c r="S333" s="342"/>
      <c r="T333" s="342"/>
    </row>
    <row r="334" spans="2:20">
      <c r="B334" s="424"/>
      <c r="C334" s="357"/>
      <c r="D334" s="368" t="s">
        <v>234</v>
      </c>
      <c r="E334" s="322"/>
      <c r="F334" s="322"/>
      <c r="G334" s="322"/>
      <c r="H334" s="322"/>
      <c r="I334" s="322"/>
      <c r="J334" s="322"/>
      <c r="K334" s="322"/>
      <c r="L334" s="322"/>
      <c r="M334" s="322"/>
      <c r="N334" s="342"/>
      <c r="O334" s="342"/>
      <c r="P334" s="342"/>
      <c r="Q334" s="342"/>
      <c r="R334" s="342"/>
      <c r="S334" s="342"/>
      <c r="T334" s="342"/>
    </row>
    <row r="335" spans="2:20">
      <c r="B335" s="424"/>
      <c r="C335" s="357"/>
      <c r="D335" s="368" t="s">
        <v>235</v>
      </c>
      <c r="E335" s="322"/>
      <c r="F335" s="322"/>
      <c r="G335" s="322"/>
      <c r="H335" s="322"/>
      <c r="I335" s="322"/>
      <c r="J335" s="322"/>
      <c r="K335" s="322"/>
      <c r="L335" s="322"/>
      <c r="M335" s="322"/>
      <c r="N335" s="342"/>
      <c r="O335" s="342"/>
      <c r="P335" s="342"/>
      <c r="Q335" s="342"/>
      <c r="R335" s="342"/>
      <c r="S335" s="342"/>
      <c r="T335" s="342"/>
    </row>
    <row r="336" spans="2:20">
      <c r="B336" s="424"/>
      <c r="C336" s="357"/>
      <c r="D336" s="368" t="s">
        <v>236</v>
      </c>
      <c r="E336" s="322"/>
      <c r="F336" s="322"/>
      <c r="G336" s="322"/>
      <c r="H336" s="322"/>
      <c r="I336" s="322"/>
      <c r="J336" s="322"/>
      <c r="K336" s="322"/>
      <c r="L336" s="322"/>
      <c r="M336" s="322"/>
      <c r="N336" s="342"/>
      <c r="O336" s="342"/>
      <c r="P336" s="342"/>
      <c r="Q336" s="342"/>
      <c r="R336" s="342"/>
      <c r="S336" s="342"/>
      <c r="T336" s="342"/>
    </row>
    <row r="337" spans="2:20">
      <c r="B337" s="356"/>
      <c r="C337" s="357"/>
      <c r="D337" s="368" t="str">
        <f>"(ln "&amp;B194&amp;") multiplied by (1/1-T) .  If the applicable tax rates are zero enter 0."</f>
        <v>(ln 118) multiplied by (1/1-T) .  If the applicable tax rates are zero enter 0.</v>
      </c>
      <c r="H337" s="322"/>
      <c r="I337" s="322"/>
      <c r="J337" s="322"/>
      <c r="K337" s="322"/>
      <c r="L337" s="322"/>
      <c r="M337" s="322"/>
      <c r="N337" s="342"/>
      <c r="O337" s="342"/>
      <c r="P337" s="342"/>
      <c r="Q337" s="342"/>
      <c r="R337" s="342"/>
      <c r="S337" s="342"/>
      <c r="T337" s="342"/>
    </row>
    <row r="338" spans="2:20">
      <c r="B338" s="528"/>
      <c r="C338" s="342"/>
      <c r="D338" s="368" t="s">
        <v>346</v>
      </c>
      <c r="E338" s="342" t="s">
        <v>347</v>
      </c>
      <c r="F338" s="847">
        <v>0.21</v>
      </c>
      <c r="G338" s="342"/>
      <c r="H338" s="322"/>
      <c r="I338" s="322"/>
      <c r="J338" s="322"/>
      <c r="K338" s="322"/>
      <c r="L338" s="322"/>
      <c r="M338" s="322"/>
      <c r="N338" s="342"/>
      <c r="O338" s="342"/>
      <c r="P338" s="342"/>
      <c r="Q338" s="342"/>
      <c r="R338" s="342"/>
      <c r="S338" s="342"/>
      <c r="T338" s="342"/>
    </row>
    <row r="339" spans="2:20">
      <c r="B339" s="528"/>
      <c r="C339" s="342"/>
      <c r="D339" s="368"/>
      <c r="E339" s="342" t="s">
        <v>348</v>
      </c>
      <c r="F339" s="517">
        <f>'WS G  State Tax Rate'!F35</f>
        <v>3.7499999999999999E-2</v>
      </c>
      <c r="G339" s="342" t="s">
        <v>506</v>
      </c>
      <c r="H339" s="322"/>
      <c r="I339" s="322"/>
      <c r="J339" s="322"/>
      <c r="K339" s="322"/>
      <c r="L339" s="322"/>
      <c r="M339" s="322"/>
      <c r="N339" s="342"/>
      <c r="O339" s="342"/>
      <c r="P339" s="342"/>
      <c r="Q339" s="342"/>
      <c r="R339" s="342"/>
      <c r="S339" s="342"/>
      <c r="T339" s="342"/>
    </row>
    <row r="340" spans="2:20">
      <c r="B340" s="528"/>
      <c r="C340" s="342"/>
      <c r="D340" s="368"/>
      <c r="E340" s="342" t="s">
        <v>349</v>
      </c>
      <c r="F340" s="847">
        <v>0</v>
      </c>
      <c r="G340" s="342" t="s">
        <v>350</v>
      </c>
      <c r="H340" s="322"/>
      <c r="I340" s="322"/>
      <c r="J340" s="322"/>
      <c r="K340" s="322"/>
      <c r="L340" s="322"/>
      <c r="M340" s="322"/>
      <c r="N340" s="342"/>
      <c r="O340" s="342"/>
      <c r="P340" s="342"/>
      <c r="Q340" s="342"/>
      <c r="R340" s="342"/>
      <c r="S340" s="342"/>
      <c r="T340" s="342"/>
    </row>
    <row r="341" spans="2:20">
      <c r="B341" s="424"/>
      <c r="C341" s="357"/>
      <c r="D341" s="368" t="s">
        <v>593</v>
      </c>
      <c r="E341" s="322"/>
      <c r="F341" s="322"/>
      <c r="G341" s="322"/>
      <c r="H341" s="322"/>
      <c r="I341" s="322"/>
      <c r="J341" s="322"/>
      <c r="K341" s="322"/>
      <c r="L341" s="322"/>
      <c r="M341" s="342"/>
      <c r="N341" s="342"/>
      <c r="O341" s="342"/>
      <c r="P341" s="342"/>
      <c r="Q341" s="342"/>
      <c r="R341" s="342"/>
      <c r="S341" s="342"/>
      <c r="T341" s="342"/>
    </row>
    <row r="342" spans="2:20">
      <c r="B342" s="424"/>
      <c r="C342" s="357"/>
      <c r="D342" s="368" t="s">
        <v>594</v>
      </c>
      <c r="E342" s="322"/>
      <c r="F342" s="322"/>
      <c r="G342" s="322"/>
      <c r="H342" s="322"/>
      <c r="I342" s="322"/>
      <c r="J342" s="322"/>
      <c r="K342" s="322"/>
      <c r="L342" s="322"/>
      <c r="M342" s="342"/>
      <c r="N342" s="342"/>
      <c r="O342" s="342"/>
      <c r="P342" s="342"/>
      <c r="Q342" s="342"/>
      <c r="R342" s="342"/>
      <c r="S342" s="342"/>
      <c r="T342" s="342"/>
    </row>
    <row r="343" spans="2:20">
      <c r="B343" s="356" t="s">
        <v>351</v>
      </c>
      <c r="C343" s="357"/>
      <c r="D343" s="368" t="s">
        <v>225</v>
      </c>
      <c r="E343" s="322"/>
      <c r="F343" s="322"/>
      <c r="G343" s="322"/>
      <c r="H343" s="322"/>
      <c r="I343" s="322"/>
      <c r="J343" s="322"/>
      <c r="K343" s="322"/>
      <c r="L343" s="322"/>
      <c r="M343" s="322"/>
      <c r="N343" s="342"/>
      <c r="O343" s="342"/>
      <c r="P343" s="342"/>
      <c r="Q343" s="342"/>
      <c r="R343" s="342"/>
      <c r="S343" s="342"/>
      <c r="T343" s="342"/>
    </row>
    <row r="344" spans="2:20">
      <c r="B344" s="317"/>
      <c r="D344" s="368"/>
      <c r="E344" s="322"/>
      <c r="F344" s="322"/>
      <c r="G344" s="322"/>
      <c r="H344" s="322"/>
      <c r="I344" s="322"/>
      <c r="J344" s="322"/>
      <c r="K344" s="322"/>
      <c r="L344" s="322"/>
      <c r="M344" s="322"/>
      <c r="N344" s="342"/>
      <c r="O344" s="342"/>
      <c r="P344" s="342"/>
      <c r="Q344" s="342"/>
      <c r="R344" s="342"/>
      <c r="S344" s="342"/>
      <c r="T344" s="342"/>
    </row>
    <row r="345" spans="2:20">
      <c r="B345" s="356" t="s">
        <v>352</v>
      </c>
      <c r="C345" s="357"/>
      <c r="D345" s="368" t="s">
        <v>22</v>
      </c>
      <c r="E345" s="322"/>
      <c r="F345" s="322"/>
      <c r="G345" s="322"/>
      <c r="H345" s="322"/>
      <c r="I345" s="322"/>
      <c r="J345" s="322"/>
      <c r="K345" s="322"/>
      <c r="L345" s="322"/>
      <c r="M345" s="322"/>
      <c r="N345" s="342"/>
      <c r="O345" s="342"/>
      <c r="P345" s="342"/>
      <c r="Q345" s="342"/>
      <c r="R345" s="342"/>
      <c r="S345" s="342"/>
      <c r="T345" s="342"/>
    </row>
    <row r="346" spans="2:20">
      <c r="B346" s="356"/>
      <c r="C346" s="357"/>
      <c r="D346" s="368"/>
      <c r="E346" s="342"/>
      <c r="F346" s="342"/>
      <c r="G346" s="342"/>
      <c r="H346" s="342"/>
      <c r="I346" s="342"/>
      <c r="J346" s="342"/>
      <c r="K346" s="342"/>
      <c r="L346" s="342"/>
      <c r="M346" s="342"/>
      <c r="N346" s="342"/>
      <c r="O346" s="342"/>
      <c r="P346" s="342"/>
      <c r="Q346" s="342"/>
      <c r="R346" s="342"/>
      <c r="S346" s="342"/>
      <c r="T346" s="342"/>
    </row>
    <row r="347" spans="2:20">
      <c r="B347" s="356" t="s">
        <v>353</v>
      </c>
      <c r="C347" s="357"/>
      <c r="D347" s="368" t="s">
        <v>416</v>
      </c>
      <c r="E347" s="342"/>
      <c r="F347" s="342"/>
      <c r="G347" s="342"/>
      <c r="H347" s="342"/>
      <c r="I347" s="342"/>
      <c r="J347" s="342"/>
      <c r="K347" s="342"/>
      <c r="L347" s="342"/>
      <c r="M347" s="342"/>
      <c r="N347" s="342"/>
      <c r="O347" s="342"/>
      <c r="P347" s="342"/>
      <c r="Q347" s="342"/>
      <c r="R347" s="342"/>
      <c r="S347" s="342"/>
      <c r="T347" s="342"/>
    </row>
    <row r="348" spans="2:20">
      <c r="B348" s="356"/>
      <c r="C348" s="357"/>
      <c r="D348" s="368"/>
      <c r="E348" s="342"/>
      <c r="F348" s="342"/>
      <c r="G348" s="342"/>
      <c r="H348" s="342"/>
      <c r="I348" s="342"/>
      <c r="J348" s="342"/>
      <c r="K348" s="342"/>
      <c r="L348" s="342"/>
      <c r="M348" s="342"/>
      <c r="N348" s="342"/>
      <c r="O348" s="342"/>
      <c r="P348" s="342"/>
      <c r="Q348" s="342"/>
      <c r="R348" s="342"/>
      <c r="S348" s="342"/>
      <c r="T348" s="342"/>
    </row>
    <row r="349" spans="2:20">
      <c r="B349" s="515" t="s">
        <v>354</v>
      </c>
      <c r="C349" s="425"/>
      <c r="D349" s="368"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49" s="342"/>
      <c r="N349" s="342"/>
      <c r="O349" s="342"/>
      <c r="P349" s="342"/>
      <c r="Q349" s="342"/>
      <c r="R349" s="342"/>
      <c r="S349" s="342"/>
      <c r="T349" s="342"/>
    </row>
    <row r="350" spans="2:20">
      <c r="B350" s="516"/>
      <c r="C350" s="322"/>
      <c r="D350" s="368"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0" s="342"/>
      <c r="N350" s="342"/>
      <c r="O350" s="342"/>
      <c r="P350" s="342"/>
      <c r="Q350" s="342"/>
      <c r="R350" s="342"/>
      <c r="S350" s="342"/>
      <c r="T350" s="342"/>
    </row>
    <row r="351" spans="2:20" ht="15" customHeight="1">
      <c r="B351" s="516"/>
      <c r="C351" s="322"/>
      <c r="D351" s="1379" t="s">
        <v>583</v>
      </c>
      <c r="E351" s="1379"/>
      <c r="F351" s="1379"/>
      <c r="G351" s="1379"/>
      <c r="H351" s="1379"/>
      <c r="I351" s="1379"/>
      <c r="J351" s="1379"/>
      <c r="K351" s="1379"/>
      <c r="L351" s="1379"/>
      <c r="M351" s="342"/>
      <c r="N351" s="342"/>
      <c r="O351" s="342"/>
      <c r="P351" s="342"/>
      <c r="Q351" s="342"/>
      <c r="R351" s="342"/>
      <c r="S351" s="342"/>
      <c r="T351" s="342"/>
    </row>
    <row r="352" spans="2:20">
      <c r="B352" s="516"/>
      <c r="C352" s="322"/>
      <c r="D352" s="1379"/>
      <c r="E352" s="1379"/>
      <c r="F352" s="1379"/>
      <c r="G352" s="1379"/>
      <c r="H352" s="1379"/>
      <c r="I352" s="1379"/>
      <c r="J352" s="1379"/>
      <c r="K352" s="1379"/>
      <c r="L352" s="1379"/>
      <c r="M352" s="342"/>
      <c r="N352" s="342"/>
      <c r="O352" s="342"/>
      <c r="P352" s="342"/>
      <c r="Q352" s="342"/>
      <c r="R352" s="342"/>
      <c r="S352" s="342"/>
      <c r="T352" s="342"/>
    </row>
    <row r="353" spans="2:20" ht="14.25" customHeight="1">
      <c r="B353" s="516"/>
      <c r="C353" s="322"/>
      <c r="D353" s="1379"/>
      <c r="E353" s="1379"/>
      <c r="F353" s="1379"/>
      <c r="G353" s="1379"/>
      <c r="H353" s="1379"/>
      <c r="I353" s="1379"/>
      <c r="J353" s="1379"/>
      <c r="K353" s="1379"/>
      <c r="L353" s="1379"/>
      <c r="M353" s="342"/>
      <c r="N353" s="342"/>
      <c r="O353" s="342"/>
      <c r="P353" s="342"/>
      <c r="Q353" s="342"/>
      <c r="R353" s="342"/>
      <c r="S353" s="342"/>
      <c r="T353" s="342"/>
    </row>
    <row r="354" spans="2:20" ht="15" hidden="1" customHeight="1">
      <c r="B354" s="516"/>
      <c r="C354" s="322"/>
      <c r="D354" s="1379"/>
      <c r="E354" s="1379"/>
      <c r="F354" s="1379"/>
      <c r="G354" s="1379"/>
      <c r="H354" s="1379"/>
      <c r="I354" s="1379"/>
      <c r="J354" s="1379"/>
      <c r="K354" s="1379"/>
      <c r="L354" s="1379"/>
      <c r="M354" s="342"/>
      <c r="N354" s="342"/>
      <c r="O354" s="342"/>
      <c r="P354" s="342"/>
      <c r="Q354" s="342"/>
      <c r="R354" s="342"/>
      <c r="S354" s="342"/>
      <c r="T354" s="342"/>
    </row>
    <row r="355" spans="2:20" ht="15" hidden="1" customHeight="1">
      <c r="B355" s="516"/>
      <c r="C355" s="322"/>
      <c r="D355" s="1379"/>
      <c r="E355" s="1379"/>
      <c r="F355" s="1379"/>
      <c r="G355" s="1379"/>
      <c r="H355" s="1379"/>
      <c r="I355" s="1379"/>
      <c r="J355" s="1379"/>
      <c r="K355" s="1379"/>
      <c r="L355" s="1379"/>
      <c r="M355" s="342"/>
      <c r="N355" s="342"/>
      <c r="O355" s="342"/>
      <c r="P355" s="342"/>
      <c r="Q355" s="342"/>
      <c r="R355" s="342"/>
      <c r="S355" s="342"/>
      <c r="T355" s="342"/>
    </row>
    <row r="356" spans="2:20" ht="15" hidden="1" customHeight="1">
      <c r="B356" s="516"/>
      <c r="C356" s="322"/>
      <c r="D356" s="1379"/>
      <c r="E356" s="1379"/>
      <c r="F356" s="1379"/>
      <c r="G356" s="1379"/>
      <c r="H356" s="1379"/>
      <c r="I356" s="1379"/>
      <c r="J356" s="1379"/>
      <c r="K356" s="1379"/>
      <c r="L356" s="1379"/>
      <c r="M356" s="342"/>
      <c r="N356" s="342"/>
      <c r="O356" s="342"/>
      <c r="P356" s="342"/>
      <c r="Q356" s="342"/>
      <c r="R356" s="342"/>
      <c r="S356" s="342"/>
      <c r="T356" s="342"/>
    </row>
    <row r="357" spans="2:20" s="322" customFormat="1">
      <c r="B357" s="356" t="s">
        <v>427</v>
      </c>
      <c r="C357" s="357"/>
      <c r="D357" s="524" t="s">
        <v>34</v>
      </c>
      <c r="E357" s="524"/>
      <c r="F357" s="524"/>
      <c r="G357" s="524"/>
      <c r="H357" s="524"/>
      <c r="I357" s="524"/>
      <c r="J357" s="524"/>
      <c r="M357" s="342"/>
      <c r="N357" s="342"/>
      <c r="O357" s="342"/>
      <c r="P357" s="342"/>
      <c r="Q357" s="342"/>
      <c r="R357" s="342"/>
      <c r="S357" s="342"/>
      <c r="T357" s="342"/>
    </row>
    <row r="358" spans="2:20" s="322" customFormat="1">
      <c r="B358" s="356"/>
      <c r="C358" s="357"/>
      <c r="D358" s="524" t="str">
        <f>"This total balance of $265,249,280 at 12/31/12 is not included in the balance in line "&amp;B255&amp;" above."</f>
        <v>This total balance of $265,249,280 at 12/31/12 is not included in the balance in line 154 above.</v>
      </c>
      <c r="E358" s="524"/>
      <c r="F358" s="524"/>
      <c r="G358" s="524"/>
      <c r="H358" s="524"/>
      <c r="I358" s="524"/>
      <c r="J358" s="524"/>
      <c r="M358" s="342"/>
      <c r="N358" s="342"/>
      <c r="O358" s="342"/>
      <c r="P358" s="342"/>
      <c r="Q358" s="342"/>
      <c r="R358" s="342"/>
      <c r="S358" s="342"/>
      <c r="T358" s="342"/>
    </row>
    <row r="359" spans="2:20" s="322" customFormat="1" ht="15.6" customHeight="1">
      <c r="B359" s="356"/>
      <c r="C359" s="357"/>
      <c r="D359" s="1386" t="s">
        <v>584</v>
      </c>
      <c r="E359" s="1386"/>
      <c r="F359" s="1386"/>
      <c r="G359" s="1386"/>
      <c r="H359" s="1386"/>
      <c r="I359" s="1386"/>
      <c r="J359" s="1386"/>
      <c r="K359" s="1386"/>
      <c r="L359" s="1386"/>
      <c r="M359" s="342"/>
      <c r="N359" s="342"/>
      <c r="O359" s="342"/>
      <c r="P359" s="342"/>
      <c r="Q359" s="342"/>
      <c r="R359" s="342"/>
      <c r="S359" s="342"/>
      <c r="T359" s="342"/>
    </row>
    <row r="360" spans="2:20" s="322" customFormat="1">
      <c r="B360" s="356"/>
      <c r="C360" s="357"/>
      <c r="D360" s="1386"/>
      <c r="E360" s="1386"/>
      <c r="F360" s="1386"/>
      <c r="G360" s="1386"/>
      <c r="H360" s="1386"/>
      <c r="I360" s="1386"/>
      <c r="J360" s="1386"/>
      <c r="K360" s="1386"/>
      <c r="L360" s="1386"/>
      <c r="M360" s="342"/>
      <c r="N360" s="342"/>
      <c r="O360" s="342"/>
      <c r="P360" s="342"/>
      <c r="Q360" s="342"/>
      <c r="R360" s="342"/>
      <c r="S360" s="342"/>
      <c r="T360" s="342"/>
    </row>
    <row r="361" spans="2:20" s="322" customFormat="1">
      <c r="B361" s="356"/>
      <c r="C361" s="357"/>
      <c r="D361" s="1386"/>
      <c r="E361" s="1386"/>
      <c r="F361" s="1386"/>
      <c r="G361" s="1386"/>
      <c r="H361" s="1386"/>
      <c r="I361" s="1386"/>
      <c r="J361" s="1386"/>
      <c r="K361" s="1386"/>
      <c r="L361" s="1386"/>
      <c r="M361" s="342"/>
      <c r="N361" s="342"/>
      <c r="O361" s="342"/>
      <c r="P361" s="342"/>
      <c r="Q361" s="342"/>
      <c r="R361" s="342"/>
      <c r="S361" s="342"/>
      <c r="T361" s="342"/>
    </row>
    <row r="362" spans="2:20" ht="15.6" customHeight="1">
      <c r="B362" s="356" t="s">
        <v>495</v>
      </c>
      <c r="C362" s="529"/>
      <c r="D362" s="1386" t="s">
        <v>769</v>
      </c>
      <c r="E362" s="1386"/>
      <c r="F362" s="1386"/>
      <c r="G362" s="1386"/>
      <c r="H362" s="1386"/>
      <c r="I362" s="1386"/>
      <c r="J362" s="1386"/>
      <c r="K362" s="1386"/>
      <c r="L362" s="1386"/>
      <c r="M362" s="342"/>
      <c r="N362" s="342"/>
      <c r="O362" s="342"/>
      <c r="P362" s="342"/>
      <c r="Q362" s="342"/>
      <c r="R362" s="342"/>
      <c r="S362" s="342"/>
      <c r="T362" s="342"/>
    </row>
    <row r="363" spans="2:20" ht="64.5" customHeight="1">
      <c r="B363" s="356"/>
      <c r="C363" s="357"/>
      <c r="D363" s="1386"/>
      <c r="E363" s="1386"/>
      <c r="F363" s="1386"/>
      <c r="G363" s="1386"/>
      <c r="H363" s="1386"/>
      <c r="I363" s="1386"/>
      <c r="J363" s="1386"/>
      <c r="K363" s="1386"/>
      <c r="L363" s="1386"/>
      <c r="M363" s="342"/>
      <c r="N363" s="342"/>
      <c r="O363" s="342"/>
      <c r="P363" s="342"/>
      <c r="Q363" s="342"/>
      <c r="R363" s="342"/>
      <c r="S363" s="342"/>
      <c r="T363" s="342"/>
    </row>
    <row r="364" spans="2:20" ht="15.6" customHeight="1">
      <c r="B364" s="356" t="s">
        <v>586</v>
      </c>
      <c r="C364" s="357"/>
      <c r="D364" s="1384" t="s">
        <v>585</v>
      </c>
      <c r="E364" s="1384"/>
      <c r="F364" s="1384"/>
      <c r="G364" s="1384"/>
      <c r="H364" s="1384"/>
      <c r="I364" s="1384"/>
      <c r="J364" s="1384"/>
      <c r="K364" s="1384"/>
      <c r="L364" s="1384"/>
      <c r="M364" s="342"/>
      <c r="N364" s="342"/>
      <c r="O364" s="342"/>
      <c r="P364" s="342"/>
      <c r="Q364" s="342"/>
      <c r="R364" s="342"/>
      <c r="S364" s="342"/>
      <c r="T364" s="342"/>
    </row>
    <row r="365" spans="2:20">
      <c r="B365" s="356"/>
      <c r="C365" s="357"/>
      <c r="D365" s="1384"/>
      <c r="E365" s="1384"/>
      <c r="F365" s="1384"/>
      <c r="G365" s="1384"/>
      <c r="H365" s="1384"/>
      <c r="I365" s="1384"/>
      <c r="J365" s="1384"/>
      <c r="K365" s="1384"/>
      <c r="L365" s="1384"/>
      <c r="M365" s="342"/>
      <c r="N365" s="342"/>
      <c r="O365" s="342"/>
      <c r="P365" s="342"/>
      <c r="Q365" s="342"/>
      <c r="R365" s="342"/>
      <c r="S365" s="342"/>
      <c r="T365" s="342"/>
    </row>
    <row r="366" spans="2:20">
      <c r="B366" s="356" t="s">
        <v>588</v>
      </c>
      <c r="C366" s="357"/>
      <c r="D366" s="1385" t="s">
        <v>589</v>
      </c>
      <c r="E366" s="1385"/>
      <c r="F366" s="1385"/>
      <c r="G366" s="1385"/>
      <c r="H366" s="1385"/>
      <c r="I366" s="1385"/>
      <c r="J366" s="1385"/>
      <c r="K366" s="1385"/>
      <c r="L366" s="1385"/>
      <c r="M366" s="342"/>
      <c r="N366" s="342"/>
      <c r="O366" s="342"/>
      <c r="P366" s="342"/>
      <c r="Q366" s="342"/>
      <c r="R366" s="342"/>
      <c r="S366" s="342"/>
      <c r="T366" s="342"/>
    </row>
    <row r="367" spans="2:20" ht="15.6" customHeight="1">
      <c r="B367" s="356" t="s">
        <v>587</v>
      </c>
      <c r="C367" s="357"/>
      <c r="D367" s="1384" t="s">
        <v>590</v>
      </c>
      <c r="E367" s="1384"/>
      <c r="F367" s="1384"/>
      <c r="G367" s="1384"/>
      <c r="H367" s="1384"/>
      <c r="I367" s="1384"/>
      <c r="J367" s="1384"/>
      <c r="K367" s="1384"/>
      <c r="L367" s="1384"/>
      <c r="M367" s="342"/>
      <c r="N367" s="342"/>
      <c r="O367" s="342"/>
      <c r="P367" s="342"/>
      <c r="Q367" s="342"/>
      <c r="R367" s="342"/>
      <c r="S367" s="342"/>
      <c r="T367" s="342"/>
    </row>
    <row r="368" spans="2:20">
      <c r="B368" s="356"/>
      <c r="C368" s="357"/>
      <c r="D368" s="1384"/>
      <c r="E368" s="1384"/>
      <c r="F368" s="1384"/>
      <c r="G368" s="1384"/>
      <c r="H368" s="1384"/>
      <c r="I368" s="1384"/>
      <c r="J368" s="1384"/>
      <c r="K368" s="1384"/>
      <c r="L368" s="1384"/>
      <c r="M368" s="342"/>
      <c r="N368" s="342"/>
      <c r="O368" s="342"/>
      <c r="P368" s="342"/>
      <c r="Q368" s="342"/>
      <c r="R368" s="342"/>
      <c r="S368" s="342"/>
      <c r="T368" s="342"/>
    </row>
    <row r="369" spans="2:20">
      <c r="B369" s="334"/>
      <c r="C369" s="334"/>
      <c r="D369" s="1384"/>
      <c r="E369" s="1384"/>
      <c r="F369" s="1384"/>
      <c r="G369" s="1384"/>
      <c r="H369" s="1384"/>
      <c r="I369" s="1384"/>
      <c r="J369" s="1384"/>
      <c r="K369" s="1384"/>
      <c r="L369" s="1384"/>
      <c r="M369" s="342"/>
      <c r="N369" s="342"/>
      <c r="O369" s="342"/>
      <c r="P369" s="342"/>
      <c r="Q369" s="342"/>
      <c r="R369" s="342"/>
      <c r="S369" s="342"/>
      <c r="T369" s="342"/>
    </row>
    <row r="370" spans="2:20" ht="18" customHeight="1">
      <c r="B370" s="1120" t="s">
        <v>641</v>
      </c>
      <c r="C370" s="1121"/>
      <c r="D370" s="518" t="s">
        <v>881</v>
      </c>
      <c r="E370" s="579"/>
      <c r="F370" s="579"/>
      <c r="G370" s="579"/>
      <c r="H370" s="334"/>
      <c r="M370" s="342"/>
      <c r="N370" s="342"/>
      <c r="O370" s="342"/>
      <c r="P370" s="342"/>
      <c r="Q370" s="342"/>
      <c r="R370" s="342"/>
      <c r="S370" s="342"/>
      <c r="T370" s="342"/>
    </row>
    <row r="371" spans="2:20">
      <c r="B371" s="334"/>
      <c r="C371" s="334"/>
      <c r="D371" s="334"/>
      <c r="E371" s="334"/>
      <c r="F371" s="334"/>
      <c r="G371" s="334"/>
      <c r="H371" s="334"/>
      <c r="M371" s="342"/>
      <c r="N371" s="342"/>
      <c r="O371" s="342"/>
      <c r="P371" s="342"/>
      <c r="Q371" s="342"/>
      <c r="R371" s="342"/>
      <c r="S371" s="342"/>
      <c r="T371" s="342"/>
    </row>
    <row r="372" spans="2:20">
      <c r="B372" s="1120" t="s">
        <v>1014</v>
      </c>
      <c r="C372" s="415"/>
      <c r="D372" s="1376" t="s">
        <v>1015</v>
      </c>
      <c r="E372" s="1376"/>
      <c r="F372" s="1376"/>
      <c r="G372" s="1376"/>
      <c r="H372" s="1376"/>
      <c r="I372" s="1376"/>
      <c r="J372" s="1376"/>
      <c r="K372" s="1376"/>
      <c r="L372" s="1376"/>
      <c r="M372" s="342"/>
      <c r="N372" s="342"/>
      <c r="O372" s="342"/>
      <c r="P372" s="342"/>
      <c r="Q372" s="342"/>
      <c r="R372" s="342"/>
      <c r="S372" s="342"/>
      <c r="T372" s="342"/>
    </row>
    <row r="373" spans="2:20">
      <c r="B373" s="415"/>
      <c r="C373" s="415"/>
      <c r="D373" s="1376"/>
      <c r="E373" s="1376"/>
      <c r="F373" s="1376"/>
      <c r="G373" s="1376"/>
      <c r="H373" s="1376"/>
      <c r="I373" s="1376"/>
      <c r="J373" s="1376"/>
      <c r="K373" s="1376"/>
      <c r="L373" s="1376"/>
    </row>
  </sheetData>
  <mergeCells count="26">
    <mergeCell ref="D309:J310"/>
    <mergeCell ref="D302:K304"/>
    <mergeCell ref="G253:H253"/>
    <mergeCell ref="E177:E178"/>
    <mergeCell ref="B24:I25"/>
    <mergeCell ref="I60:J60"/>
    <mergeCell ref="I63:J63"/>
    <mergeCell ref="I134:J134"/>
    <mergeCell ref="I137:J137"/>
    <mergeCell ref="D42:L42"/>
    <mergeCell ref="D372:L373"/>
    <mergeCell ref="D291:L291"/>
    <mergeCell ref="D287:L288"/>
    <mergeCell ref="D282:K283"/>
    <mergeCell ref="D279:L279"/>
    <mergeCell ref="D351:L356"/>
    <mergeCell ref="D327:L329"/>
    <mergeCell ref="D322:L325"/>
    <mergeCell ref="D319:K320"/>
    <mergeCell ref="D315:J317"/>
    <mergeCell ref="D306:K308"/>
    <mergeCell ref="D367:L369"/>
    <mergeCell ref="D366:L366"/>
    <mergeCell ref="D364:L365"/>
    <mergeCell ref="D362:L363"/>
    <mergeCell ref="D359:L361"/>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4" man="1"/>
    <brk id="126" max="14" man="1"/>
    <brk id="214" max="14" man="1"/>
    <brk id="26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249"/>
  <sheetViews>
    <sheetView view="pageBreakPreview" zoomScaleNormal="100" zoomScaleSheetLayoutView="100" workbookViewId="0">
      <selection activeCell="B8" sqref="B8"/>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899" t="s">
        <v>115</v>
      </c>
    </row>
    <row r="2" spans="1:15" ht="15.75">
      <c r="A2" s="899" t="s">
        <v>115</v>
      </c>
    </row>
    <row r="3" spans="1:15" ht="15">
      <c r="A3" s="1399" t="s">
        <v>388</v>
      </c>
      <c r="B3" s="1399"/>
      <c r="C3" s="1399"/>
      <c r="D3" s="1399"/>
      <c r="E3" s="1399"/>
      <c r="F3" s="1399"/>
      <c r="G3" s="1399"/>
      <c r="H3" s="1399"/>
    </row>
    <row r="4" spans="1:15" ht="15">
      <c r="A4" s="1400" t="str">
        <f>"Cost of Service Formula Rate Using Actual/Projected FF1 Balances"</f>
        <v>Cost of Service Formula Rate Using Actual/Projected FF1 Balances</v>
      </c>
      <c r="B4" s="1400"/>
      <c r="C4" s="1400"/>
      <c r="D4" s="1400"/>
      <c r="E4" s="1400"/>
      <c r="F4" s="1400"/>
      <c r="G4" s="1400"/>
      <c r="H4" s="1400"/>
    </row>
    <row r="5" spans="1:15" ht="15">
      <c r="A5" s="1400" t="s">
        <v>528</v>
      </c>
      <c r="B5" s="1400"/>
      <c r="C5" s="1400"/>
      <c r="D5" s="1400"/>
      <c r="E5" s="1400"/>
      <c r="F5" s="1400"/>
      <c r="G5" s="1400"/>
      <c r="H5" s="1400"/>
    </row>
    <row r="6" spans="1:15" ht="15">
      <c r="A6" s="1411" t="str">
        <f>TCOS!F9</f>
        <v>Appalachian Power Company</v>
      </c>
      <c r="B6" s="1411"/>
      <c r="C6" s="1411"/>
      <c r="D6" s="1411"/>
      <c r="E6" s="1411"/>
      <c r="F6" s="1411"/>
      <c r="G6" s="1411"/>
    </row>
    <row r="7" spans="1:15" ht="12.75" customHeight="1">
      <c r="A7" s="19"/>
      <c r="B7" s="23"/>
      <c r="C7" s="23"/>
      <c r="D7" s="23"/>
      <c r="E7" s="23"/>
      <c r="F7" s="23"/>
      <c r="G7" s="23"/>
      <c r="H7" s="23"/>
      <c r="I7" s="23"/>
      <c r="J7" s="23"/>
      <c r="O7" s="15"/>
    </row>
    <row r="8" spans="1:15" ht="12.75" customHeight="1">
      <c r="A8" s="19"/>
      <c r="B8" s="38"/>
      <c r="C8" s="2"/>
      <c r="D8" s="2"/>
      <c r="E8" s="2"/>
      <c r="F8" s="2"/>
    </row>
    <row r="9" spans="1:15" ht="12.75" customHeight="1">
      <c r="A9" s="19"/>
      <c r="B9" s="17" t="s">
        <v>973</v>
      </c>
      <c r="C9" s="36"/>
      <c r="D9" s="39"/>
      <c r="E9" s="868">
        <v>6.5000000000000002E-2</v>
      </c>
      <c r="F9" s="2"/>
    </row>
    <row r="10" spans="1:15" ht="12.75" customHeight="1">
      <c r="A10" s="19"/>
      <c r="B10" s="17" t="s">
        <v>974</v>
      </c>
      <c r="C10" s="36"/>
      <c r="D10" s="36"/>
      <c r="E10" s="869">
        <v>2.6499999999999999E-2</v>
      </c>
      <c r="F10" s="2"/>
    </row>
    <row r="11" spans="1:15" ht="12.75" customHeight="1">
      <c r="A11" s="19"/>
      <c r="B11" s="17" t="s">
        <v>449</v>
      </c>
      <c r="C11" s="36"/>
      <c r="D11" s="36"/>
      <c r="E11" s="307"/>
      <c r="F11" s="40">
        <f>ROUND(E9*E10,4)</f>
        <v>1.6999999999999999E-3</v>
      </c>
    </row>
    <row r="12" spans="1:15" ht="12.75" customHeight="1">
      <c r="A12" s="19"/>
      <c r="B12" s="17"/>
      <c r="C12" s="36"/>
      <c r="D12" s="36"/>
      <c r="E12" s="307"/>
      <c r="F12" s="40"/>
    </row>
    <row r="13" spans="1:15" ht="12.75" customHeight="1">
      <c r="A13" s="19"/>
      <c r="B13" s="17" t="s">
        <v>975</v>
      </c>
      <c r="C13" s="36"/>
      <c r="D13" s="39"/>
      <c r="E13" s="868">
        <v>6.5000000000000002E-2</v>
      </c>
      <c r="F13" s="2"/>
    </row>
    <row r="14" spans="1:15" ht="12.75" customHeight="1">
      <c r="A14" s="19"/>
      <c r="B14" s="17" t="s">
        <v>974</v>
      </c>
      <c r="C14" s="36"/>
      <c r="D14" s="36"/>
      <c r="E14" s="869">
        <v>0.54079999999999995</v>
      </c>
      <c r="F14" s="2"/>
    </row>
    <row r="15" spans="1:15" ht="12.75" customHeight="1">
      <c r="A15" s="19"/>
      <c r="B15" s="17" t="s">
        <v>449</v>
      </c>
      <c r="C15" s="36"/>
      <c r="D15" s="36"/>
      <c r="E15" s="307"/>
      <c r="F15" s="40">
        <f>ROUND(E13*E14,4)</f>
        <v>3.5200000000000002E-2</v>
      </c>
    </row>
    <row r="16" spans="1:15" ht="12.75" customHeight="1">
      <c r="A16" s="19"/>
      <c r="B16" s="17"/>
      <c r="C16" s="36"/>
      <c r="D16" s="36"/>
      <c r="E16" s="307"/>
      <c r="F16" s="40"/>
    </row>
    <row r="17" spans="1:6" ht="12.75" customHeight="1">
      <c r="A17" s="19"/>
      <c r="B17" s="17" t="s">
        <v>976</v>
      </c>
      <c r="C17" s="36"/>
      <c r="D17" s="39"/>
      <c r="E17" s="868">
        <v>0.06</v>
      </c>
      <c r="F17" s="2"/>
    </row>
    <row r="18" spans="1:6" ht="12.75" customHeight="1">
      <c r="A18" s="19"/>
      <c r="B18" s="17" t="s">
        <v>974</v>
      </c>
      <c r="C18" s="36"/>
      <c r="D18" s="36"/>
      <c r="E18" s="869">
        <v>0</v>
      </c>
      <c r="F18" s="2"/>
    </row>
    <row r="19" spans="1:6" ht="12.75" customHeight="1">
      <c r="A19" s="19"/>
      <c r="B19" s="17" t="s">
        <v>449</v>
      </c>
      <c r="C19" s="36"/>
      <c r="D19" s="36"/>
      <c r="E19" s="307"/>
      <c r="F19" s="40">
        <f>ROUND(E17*E18,4)</f>
        <v>0</v>
      </c>
    </row>
    <row r="20" spans="1:6" ht="12.75" customHeight="1">
      <c r="A20" s="19"/>
      <c r="B20" s="17"/>
      <c r="C20" s="36"/>
      <c r="D20" s="36"/>
      <c r="E20" s="307"/>
      <c r="F20" s="40"/>
    </row>
    <row r="21" spans="1:6" ht="12.75" customHeight="1">
      <c r="A21" s="19"/>
      <c r="B21" s="17" t="s">
        <v>977</v>
      </c>
      <c r="C21" s="36"/>
      <c r="D21" s="39"/>
      <c r="E21" s="868">
        <v>0</v>
      </c>
      <c r="F21" s="41"/>
    </row>
    <row r="22" spans="1:6" ht="12.75" customHeight="1">
      <c r="A22" s="19"/>
      <c r="B22" s="17" t="s">
        <v>978</v>
      </c>
      <c r="C22" s="36"/>
      <c r="D22" s="39"/>
      <c r="E22" s="868">
        <v>0</v>
      </c>
      <c r="F22" s="41"/>
    </row>
    <row r="23" spans="1:6" ht="12.75" customHeight="1">
      <c r="A23" s="19"/>
      <c r="B23" s="17" t="s">
        <v>974</v>
      </c>
      <c r="C23" s="36"/>
      <c r="D23" s="36"/>
      <c r="E23" s="869">
        <v>0</v>
      </c>
      <c r="F23" s="41"/>
    </row>
    <row r="24" spans="1:6" ht="12.75" customHeight="1">
      <c r="A24" s="19"/>
      <c r="B24" s="17" t="s">
        <v>449</v>
      </c>
      <c r="C24" s="36"/>
      <c r="D24" s="36"/>
      <c r="E24" s="307"/>
      <c r="F24" s="40">
        <f>+E21*E22*E23</f>
        <v>0</v>
      </c>
    </row>
    <row r="25" spans="1:6" ht="12.75" customHeight="1">
      <c r="A25" s="19"/>
      <c r="B25" s="17"/>
      <c r="C25" s="36"/>
      <c r="D25" s="36"/>
      <c r="E25" s="307"/>
      <c r="F25" s="40"/>
    </row>
    <row r="26" spans="1:6" ht="12.75" customHeight="1">
      <c r="A26" s="19"/>
      <c r="B26" s="17" t="s">
        <v>979</v>
      </c>
      <c r="C26" s="36"/>
      <c r="D26" s="39"/>
      <c r="E26" s="868">
        <v>0.06</v>
      </c>
      <c r="F26" s="2"/>
    </row>
    <row r="27" spans="1:6" ht="12.75" customHeight="1">
      <c r="A27" s="19"/>
      <c r="B27" s="17" t="s">
        <v>974</v>
      </c>
      <c r="C27" s="36"/>
      <c r="D27" s="36"/>
      <c r="E27" s="869">
        <v>2.0000000000000001E-4</v>
      </c>
      <c r="F27" s="2"/>
    </row>
    <row r="28" spans="1:6" ht="12.75" customHeight="1">
      <c r="A28" s="19"/>
      <c r="B28" s="17" t="s">
        <v>449</v>
      </c>
      <c r="C28" s="36"/>
      <c r="D28" s="36"/>
      <c r="E28" s="307"/>
      <c r="F28" s="40">
        <f>ROUND(E26*E27,4)</f>
        <v>0</v>
      </c>
    </row>
    <row r="29" spans="1:6" ht="12.75" customHeight="1">
      <c r="A29" s="19"/>
      <c r="B29" s="17"/>
      <c r="C29" s="36"/>
      <c r="D29" s="36"/>
      <c r="E29" s="307"/>
      <c r="F29" s="40"/>
    </row>
    <row r="30" spans="1:6" ht="12.75" customHeight="1">
      <c r="A30" s="19"/>
      <c r="B30" s="17" t="s">
        <v>980</v>
      </c>
      <c r="C30" s="36"/>
      <c r="D30" s="39"/>
      <c r="E30" s="868">
        <v>9.5000000000000001E-2</v>
      </c>
      <c r="F30" s="2"/>
    </row>
    <row r="31" spans="1:6" ht="12.75" customHeight="1">
      <c r="A31" s="19"/>
      <c r="B31" s="17" t="s">
        <v>974</v>
      </c>
      <c r="C31" s="36"/>
      <c r="D31" s="36"/>
      <c r="E31" s="869">
        <v>6.4999999999999997E-3</v>
      </c>
      <c r="F31" s="2"/>
    </row>
    <row r="32" spans="1:6" ht="12.75" customHeight="1">
      <c r="A32" s="19"/>
      <c r="B32" s="17" t="s">
        <v>449</v>
      </c>
      <c r="C32" s="36"/>
      <c r="D32" s="36"/>
      <c r="E32" s="20"/>
      <c r="F32" s="40">
        <f>ROUND(E30*E31,4)</f>
        <v>5.9999999999999995E-4</v>
      </c>
    </row>
    <row r="33" spans="1:12" ht="12.75" customHeight="1">
      <c r="A33" s="19"/>
      <c r="B33" s="6"/>
    </row>
    <row r="34" spans="1:12" ht="12.75" customHeight="1">
      <c r="A34" s="19"/>
      <c r="B34" s="17"/>
      <c r="C34" s="36"/>
      <c r="D34" s="36"/>
      <c r="E34" s="36"/>
      <c r="F34" s="41"/>
    </row>
    <row r="35" spans="1:12" ht="15.75" thickBot="1">
      <c r="A35" s="22"/>
      <c r="B35" s="20" t="s">
        <v>204</v>
      </c>
      <c r="C35" s="20"/>
      <c r="D35" s="20"/>
      <c r="E35" s="20"/>
      <c r="F35" s="134">
        <f>ROUND(SUM(F11:F34),4)</f>
        <v>3.7499999999999999E-2</v>
      </c>
      <c r="G35" s="21"/>
      <c r="L35" s="22"/>
    </row>
    <row r="36" spans="1:12" ht="13.5" thickTop="1">
      <c r="A36" s="22"/>
      <c r="G36" s="21"/>
      <c r="H36" s="21"/>
      <c r="L36" s="22"/>
    </row>
    <row r="37" spans="1:12">
      <c r="A37" s="22"/>
      <c r="G37" s="21"/>
      <c r="H37" s="21"/>
      <c r="L37" s="22"/>
    </row>
    <row r="38" spans="1:12" ht="12.75" customHeight="1">
      <c r="A38" s="22"/>
      <c r="C38" s="20"/>
      <c r="D38" s="20"/>
      <c r="E38" s="20"/>
      <c r="F38" s="20"/>
      <c r="G38" s="21"/>
      <c r="H38" s="21"/>
      <c r="L38" s="22"/>
    </row>
    <row r="39" spans="1:12" ht="21.75" customHeight="1">
      <c r="A39" s="2"/>
      <c r="B39" s="1428" t="s">
        <v>115</v>
      </c>
      <c r="C39" s="1428"/>
      <c r="D39" s="1428"/>
      <c r="E39" s="1428"/>
      <c r="F39" s="1428"/>
      <c r="G39" s="1428"/>
      <c r="H39" s="21"/>
      <c r="I39" s="19"/>
      <c r="L39" s="21"/>
    </row>
    <row r="40" spans="1:12" ht="12.75" customHeight="1">
      <c r="A40" s="21"/>
      <c r="B40" s="1428"/>
      <c r="C40" s="1428"/>
      <c r="D40" s="1428"/>
      <c r="E40" s="1428"/>
      <c r="F40" s="1428"/>
      <c r="G40" s="1428"/>
      <c r="H40" s="21"/>
      <c r="L40" s="21"/>
    </row>
    <row r="41" spans="1:12" ht="17.25" customHeight="1">
      <c r="A41" s="21"/>
      <c r="B41" s="1428"/>
      <c r="C41" s="1428"/>
      <c r="D41" s="1428"/>
      <c r="E41" s="1428"/>
      <c r="F41" s="1428"/>
      <c r="G41" s="1428"/>
      <c r="H41" s="21"/>
      <c r="I41" s="21"/>
      <c r="L41" s="21"/>
    </row>
    <row r="42" spans="1:12" ht="18" customHeight="1">
      <c r="A42" s="5" t="s">
        <v>500</v>
      </c>
      <c r="B42" s="5" t="s">
        <v>75</v>
      </c>
      <c r="C42" s="5"/>
      <c r="D42" s="5"/>
      <c r="E42" s="5"/>
      <c r="F42" s="5"/>
      <c r="G42" s="5"/>
      <c r="H42" s="21"/>
      <c r="I42" s="21"/>
      <c r="L42" s="21"/>
    </row>
    <row r="249" spans="2:2">
      <c r="B249" t="s">
        <v>115</v>
      </c>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C82"/>
  <sheetViews>
    <sheetView topLeftCell="A38" zoomScale="55" zoomScaleNormal="55" workbookViewId="0">
      <selection activeCell="M83" sqref="M83"/>
    </sheetView>
  </sheetViews>
  <sheetFormatPr defaultRowHeight="15"/>
  <cols>
    <col min="1" max="1" width="7.42578125" style="126" customWidth="1"/>
    <col min="2" max="2" width="1.5703125" style="127" customWidth="1"/>
    <col min="3" max="3" width="62.42578125" style="127" customWidth="1"/>
    <col min="4" max="4" width="19.140625" style="127" customWidth="1"/>
    <col min="5" max="5" width="22.5703125" style="121" bestFit="1" customWidth="1"/>
    <col min="6" max="6" width="1.5703125" style="112" customWidth="1"/>
    <col min="7" max="7" width="21.85546875" style="112" customWidth="1"/>
    <col min="8" max="8" width="1.5703125" style="112" customWidth="1"/>
    <col min="9" max="9" width="21.42578125" style="112" customWidth="1"/>
    <col min="10" max="10" width="1.5703125" style="112" customWidth="1"/>
    <col min="11" max="11" width="19.42578125" style="112" bestFit="1" customWidth="1"/>
    <col min="12" max="12" width="3.42578125" style="112" customWidth="1"/>
    <col min="13" max="13" width="22.5703125" style="112" customWidth="1"/>
    <col min="14" max="14" width="1.42578125" style="112" customWidth="1"/>
    <col min="15" max="15" width="22.140625" style="218" customWidth="1"/>
    <col min="16" max="16384" width="9.140625" style="112"/>
  </cols>
  <sheetData>
    <row r="1" spans="1:29" ht="15.75">
      <c r="A1" s="899" t="s">
        <v>115</v>
      </c>
    </row>
    <row r="2" spans="1:29" ht="15.75">
      <c r="A2" s="899" t="s">
        <v>115</v>
      </c>
    </row>
    <row r="3" spans="1:29" ht="18.75" customHeight="1">
      <c r="A3" s="1399" t="s">
        <v>388</v>
      </c>
      <c r="B3" s="1399"/>
      <c r="C3" s="1399"/>
      <c r="D3" s="1399"/>
      <c r="E3" s="1399"/>
      <c r="F3" s="1399"/>
      <c r="G3" s="1399"/>
      <c r="H3" s="1399"/>
      <c r="I3" s="1399"/>
      <c r="J3" s="1399"/>
      <c r="K3" s="1399"/>
      <c r="L3" s="1399"/>
      <c r="M3" s="1399"/>
    </row>
    <row r="4" spans="1:29" ht="18.75" customHeight="1">
      <c r="A4" s="1400" t="str">
        <f>"Cost of Service Formula Rate Using Actual/Projected FF1 Balances"</f>
        <v>Cost of Service Formula Rate Using Actual/Projected FF1 Balances</v>
      </c>
      <c r="B4" s="1400"/>
      <c r="C4" s="1400"/>
      <c r="D4" s="1400"/>
      <c r="E4" s="1400"/>
      <c r="F4" s="1400"/>
      <c r="G4" s="1400"/>
      <c r="H4" s="1400"/>
      <c r="I4" s="1400"/>
      <c r="J4" s="1400"/>
      <c r="K4" s="1400"/>
      <c r="L4" s="1400"/>
      <c r="M4" s="1400"/>
    </row>
    <row r="5" spans="1:29" ht="18.75" customHeight="1">
      <c r="A5" s="1400" t="s">
        <v>239</v>
      </c>
      <c r="B5" s="1400"/>
      <c r="C5" s="1400"/>
      <c r="D5" s="1400"/>
      <c r="E5" s="1400"/>
      <c r="F5" s="1400"/>
      <c r="G5" s="1400"/>
      <c r="H5" s="1400"/>
      <c r="I5" s="1400"/>
      <c r="J5" s="1400"/>
      <c r="K5" s="1400"/>
      <c r="L5" s="1400"/>
      <c r="M5" s="1400"/>
    </row>
    <row r="6" spans="1:29" ht="18.75" customHeight="1">
      <c r="A6" s="1407" t="str">
        <f>+TCOS!F9</f>
        <v>Appalachian Power Company</v>
      </c>
      <c r="B6" s="1407"/>
      <c r="C6" s="1407"/>
      <c r="D6" s="1407"/>
      <c r="E6" s="1407"/>
      <c r="F6" s="1407"/>
      <c r="G6" s="1407"/>
      <c r="H6" s="1407"/>
      <c r="I6" s="1407"/>
      <c r="J6" s="1407"/>
      <c r="K6" s="1407"/>
      <c r="L6" s="1407"/>
      <c r="M6" s="1407"/>
    </row>
    <row r="7" spans="1:29" ht="18" customHeight="1">
      <c r="A7" s="1411"/>
      <c r="B7" s="1411"/>
      <c r="C7" s="1411"/>
      <c r="D7" s="1411"/>
      <c r="E7" s="1411"/>
      <c r="F7" s="1411"/>
      <c r="G7" s="1411"/>
      <c r="H7" s="1411"/>
      <c r="I7" s="1411"/>
      <c r="J7" s="1411"/>
      <c r="K7" s="1411"/>
      <c r="L7" s="1411"/>
      <c r="M7" s="1411"/>
    </row>
    <row r="8" spans="1:29" ht="18" customHeight="1">
      <c r="A8" s="1427"/>
      <c r="B8" s="1427"/>
      <c r="C8" s="1427"/>
      <c r="D8" s="1427"/>
      <c r="E8" s="1427"/>
      <c r="F8" s="1427"/>
      <c r="G8" s="1427"/>
      <c r="H8" s="1427"/>
      <c r="I8" s="1427"/>
      <c r="J8" s="1427"/>
      <c r="K8" s="1427"/>
      <c r="L8" s="1427"/>
      <c r="M8" s="1427"/>
    </row>
    <row r="9" spans="1:29" ht="18" customHeight="1">
      <c r="A9" s="161"/>
      <c r="B9" s="161"/>
      <c r="C9" s="161"/>
      <c r="D9" s="161"/>
      <c r="E9" s="161"/>
      <c r="F9" s="161"/>
      <c r="G9" s="161"/>
      <c r="H9" s="161"/>
      <c r="I9" s="161"/>
      <c r="J9" s="161"/>
      <c r="K9" s="161"/>
      <c r="L9" s="161"/>
      <c r="M9" s="161"/>
    </row>
    <row r="10" spans="1:29" ht="19.5" customHeight="1">
      <c r="A10" s="114"/>
      <c r="B10" s="115"/>
      <c r="C10" s="35" t="s">
        <v>163</v>
      </c>
      <c r="E10" s="35" t="s">
        <v>164</v>
      </c>
      <c r="G10" s="35" t="s">
        <v>165</v>
      </c>
      <c r="I10" s="35" t="s">
        <v>166</v>
      </c>
      <c r="K10" s="35" t="s">
        <v>84</v>
      </c>
      <c r="M10" s="35" t="s">
        <v>85</v>
      </c>
    </row>
    <row r="11" spans="1:29" ht="18">
      <c r="A11" s="203"/>
      <c r="B11" s="204"/>
      <c r="C11" s="204"/>
      <c r="D11" s="204"/>
      <c r="E11"/>
      <c r="F11"/>
      <c r="G11"/>
      <c r="H11"/>
      <c r="I11"/>
      <c r="J11"/>
      <c r="K11"/>
      <c r="L11"/>
      <c r="M11"/>
      <c r="Q11" s="38"/>
      <c r="R11" s="38"/>
      <c r="S11" s="38"/>
      <c r="T11" s="38"/>
      <c r="U11" s="38"/>
      <c r="V11" s="38"/>
      <c r="W11" s="38"/>
      <c r="X11" s="38"/>
      <c r="Y11" s="38"/>
      <c r="Z11" s="38"/>
      <c r="AA11" s="38"/>
      <c r="AB11" s="38"/>
      <c r="AC11" s="38"/>
    </row>
    <row r="12" spans="1:29" ht="19.5">
      <c r="A12" s="203" t="s">
        <v>170</v>
      </c>
      <c r="B12" s="204"/>
      <c r="C12" s="204"/>
      <c r="D12" s="204"/>
      <c r="E12" s="205" t="s">
        <v>119</v>
      </c>
      <c r="F12" s="203"/>
      <c r="G12" s="203"/>
      <c r="H12" s="203"/>
      <c r="I12" s="203"/>
      <c r="J12" s="203"/>
      <c r="K12" s="120"/>
      <c r="L12" s="120"/>
      <c r="M12" s="206"/>
    </row>
    <row r="13" spans="1:29" ht="19.5">
      <c r="A13" s="207" t="s">
        <v>118</v>
      </c>
      <c r="B13" s="204"/>
      <c r="C13" s="207" t="s">
        <v>307</v>
      </c>
      <c r="D13" s="204"/>
      <c r="E13" s="208" t="s">
        <v>184</v>
      </c>
      <c r="F13" s="203"/>
      <c r="G13" s="207" t="s">
        <v>310</v>
      </c>
      <c r="H13" s="203"/>
      <c r="I13" s="207" t="s">
        <v>162</v>
      </c>
      <c r="J13" s="203"/>
      <c r="K13" s="209" t="s">
        <v>182</v>
      </c>
      <c r="L13" s="210"/>
      <c r="M13" s="209" t="s">
        <v>311</v>
      </c>
    </row>
    <row r="14" spans="1:29" ht="19.5">
      <c r="A14" s="116"/>
      <c r="B14" s="115"/>
      <c r="C14" s="111"/>
      <c r="D14" s="111"/>
      <c r="E14" s="111" t="s">
        <v>68</v>
      </c>
      <c r="F14" s="111"/>
      <c r="G14" s="111"/>
      <c r="H14" s="111"/>
      <c r="I14" s="111"/>
      <c r="J14" s="111"/>
      <c r="K14" s="110"/>
      <c r="L14" s="110"/>
    </row>
    <row r="15" spans="1:29" ht="19.5">
      <c r="A15" s="114"/>
      <c r="B15" s="115"/>
      <c r="C15" s="115"/>
      <c r="D15" s="115"/>
      <c r="E15" s="117"/>
      <c r="F15" s="113"/>
      <c r="G15" s="113"/>
      <c r="H15" s="113"/>
      <c r="I15" s="109"/>
      <c r="J15" s="113"/>
      <c r="K15" s="110"/>
      <c r="L15" s="110"/>
    </row>
    <row r="16" spans="1:29" ht="19.5">
      <c r="A16" s="114">
        <v>1</v>
      </c>
      <c r="B16" s="115"/>
      <c r="C16" s="118" t="s">
        <v>324</v>
      </c>
      <c r="D16" s="115"/>
      <c r="E16" s="110"/>
      <c r="F16" s="110"/>
      <c r="G16" s="133"/>
      <c r="H16" s="133"/>
      <c r="I16" s="133"/>
      <c r="J16" s="133"/>
      <c r="K16" s="133"/>
      <c r="L16" s="133"/>
      <c r="M16" s="119"/>
    </row>
    <row r="17" spans="1:15" ht="18">
      <c r="A17" s="114">
        <f>+A16+1</f>
        <v>2</v>
      </c>
      <c r="B17" s="115"/>
      <c r="C17" s="218" t="s">
        <v>308</v>
      </c>
      <c r="D17" s="1331"/>
      <c r="E17" s="1332">
        <f>'WS H-1-Detail of Tax Amts'!E15</f>
        <v>13797134</v>
      </c>
      <c r="F17" s="218"/>
      <c r="G17" s="1333"/>
      <c r="H17" s="1333"/>
      <c r="I17" s="1333"/>
      <c r="J17" s="1333"/>
      <c r="K17" s="1333"/>
      <c r="L17" s="1333"/>
      <c r="M17" s="219">
        <f>+E17</f>
        <v>13797134</v>
      </c>
    </row>
    <row r="18" spans="1:15" ht="18">
      <c r="A18" s="114"/>
      <c r="B18" s="115"/>
      <c r="C18" s="1334"/>
      <c r="D18" s="1331"/>
      <c r="E18" s="1335"/>
      <c r="F18" s="218"/>
      <c r="G18" s="1333"/>
      <c r="H18" s="1333"/>
      <c r="I18" s="1333"/>
      <c r="J18" s="1333"/>
      <c r="K18" s="1333"/>
      <c r="L18" s="1333"/>
      <c r="M18" s="219"/>
    </row>
    <row r="19" spans="1:15" ht="18">
      <c r="A19" s="1094">
        <f>+A17+1</f>
        <v>3</v>
      </c>
      <c r="B19" s="1095"/>
      <c r="C19" s="1336" t="s">
        <v>325</v>
      </c>
      <c r="D19" s="1331"/>
      <c r="E19" s="1335"/>
      <c r="F19" s="218"/>
      <c r="G19" s="1333"/>
      <c r="H19" s="1337"/>
      <c r="I19" s="1337"/>
      <c r="J19" s="1337"/>
      <c r="K19" s="1337"/>
      <c r="L19" s="1337"/>
      <c r="M19" s="1338"/>
    </row>
    <row r="20" spans="1:15" ht="18">
      <c r="A20" s="1094">
        <f>+A19+1</f>
        <v>4</v>
      </c>
      <c r="B20" s="1095"/>
      <c r="C20" s="218" t="s">
        <v>600</v>
      </c>
      <c r="D20" s="218"/>
      <c r="E20" s="1332">
        <f>'WS H-1-Detail of Tax Amts'!E27</f>
        <v>48798578</v>
      </c>
      <c r="F20" s="218"/>
      <c r="G20" s="1333">
        <f>+E20</f>
        <v>48798578</v>
      </c>
      <c r="H20" s="1337"/>
      <c r="I20" s="1337"/>
      <c r="J20" s="1337"/>
      <c r="K20" s="1337"/>
      <c r="L20" s="1337"/>
      <c r="M20" s="1338"/>
      <c r="O20"/>
    </row>
    <row r="21" spans="1:15" ht="18">
      <c r="A21" s="1094">
        <f>+A20+1</f>
        <v>5</v>
      </c>
      <c r="B21" s="1095"/>
      <c r="C21" s="218" t="s">
        <v>601</v>
      </c>
      <c r="D21" s="218"/>
      <c r="E21" s="1332">
        <f>'WS H-1-Detail of Tax Amts'!E35</f>
        <v>22039083</v>
      </c>
      <c r="F21" s="218"/>
      <c r="G21" s="1333">
        <f>+E21</f>
        <v>22039083</v>
      </c>
      <c r="H21" s="1337"/>
      <c r="I21" s="1337"/>
      <c r="J21" s="1337"/>
      <c r="K21" s="1337"/>
      <c r="L21" s="1337"/>
      <c r="M21" s="1338"/>
      <c r="O21"/>
    </row>
    <row r="22" spans="1:15" ht="18">
      <c r="A22" s="1094">
        <f>+A21+1</f>
        <v>6</v>
      </c>
      <c r="B22" s="1095"/>
      <c r="C22" s="218" t="s">
        <v>597</v>
      </c>
      <c r="D22" s="1332"/>
      <c r="E22" s="1332">
        <f>'WS H-1-Detail of Tax Amts'!E46</f>
        <v>1293736</v>
      </c>
      <c r="F22" s="218"/>
      <c r="G22" s="1333">
        <f>+E22</f>
        <v>1293736</v>
      </c>
      <c r="H22" s="1337"/>
      <c r="I22" s="1337"/>
      <c r="J22" s="1337"/>
      <c r="K22" s="1337"/>
      <c r="L22" s="1337"/>
      <c r="M22" s="1338"/>
      <c r="O22"/>
    </row>
    <row r="23" spans="1:15" ht="18">
      <c r="A23" s="1094">
        <f>+A22+1</f>
        <v>7</v>
      </c>
      <c r="B23" s="1095"/>
      <c r="C23" s="218" t="s">
        <v>464</v>
      </c>
      <c r="D23" s="1332"/>
      <c r="E23" s="1332">
        <f>'WS H-1-Detail of Tax Amts'!E52</f>
        <v>2193116</v>
      </c>
      <c r="F23" s="218"/>
      <c r="G23" s="1333">
        <f>E23</f>
        <v>2193116</v>
      </c>
      <c r="H23" s="1337"/>
      <c r="I23" s="1337"/>
      <c r="J23" s="1337"/>
      <c r="K23" s="1337"/>
      <c r="L23" s="1337"/>
      <c r="M23" s="1338"/>
      <c r="O23"/>
    </row>
    <row r="24" spans="1:15" ht="18">
      <c r="A24" s="114"/>
      <c r="B24" s="115"/>
      <c r="C24" s="1334"/>
      <c r="D24" s="1331"/>
      <c r="E24" s="1335"/>
      <c r="F24" s="218"/>
      <c r="G24" s="1333"/>
      <c r="H24" s="1333"/>
      <c r="I24" s="1333"/>
      <c r="J24" s="1333"/>
      <c r="K24" s="1333"/>
      <c r="L24" s="1333"/>
      <c r="M24" s="219"/>
      <c r="O24" s="219"/>
    </row>
    <row r="25" spans="1:15" ht="18">
      <c r="A25" s="114">
        <f>+A23+1</f>
        <v>8</v>
      </c>
      <c r="B25" s="115"/>
      <c r="C25" s="1336" t="s">
        <v>326</v>
      </c>
      <c r="D25" s="1331"/>
      <c r="E25" s="1335"/>
      <c r="F25" s="218"/>
      <c r="G25" s="1333"/>
      <c r="H25" s="1333"/>
      <c r="I25" s="1333"/>
      <c r="J25" s="1333"/>
      <c r="K25" s="1333"/>
      <c r="L25" s="1333"/>
      <c r="M25" s="219"/>
      <c r="O25" s="219"/>
    </row>
    <row r="26" spans="1:15" ht="18">
      <c r="A26" s="114">
        <f>+A25+1</f>
        <v>9</v>
      </c>
      <c r="B26" s="115"/>
      <c r="C26" s="218" t="s">
        <v>322</v>
      </c>
      <c r="D26" s="1331"/>
      <c r="E26" s="1332">
        <f>'WS H-1-Detail of Tax Amts'!E63</f>
        <v>8810745</v>
      </c>
      <c r="F26" s="218"/>
      <c r="G26" s="1333"/>
      <c r="H26" s="1333"/>
      <c r="I26" s="1333">
        <f>+E26</f>
        <v>8810745</v>
      </c>
      <c r="J26" s="1333"/>
      <c r="K26" s="1333"/>
      <c r="L26" s="1333"/>
      <c r="M26" s="219"/>
      <c r="O26" s="219"/>
    </row>
    <row r="27" spans="1:15" ht="18">
      <c r="A27" s="114">
        <f>+A26+1</f>
        <v>10</v>
      </c>
      <c r="B27" s="115"/>
      <c r="C27" s="218" t="s">
        <v>315</v>
      </c>
      <c r="D27" s="1331"/>
      <c r="E27" s="1332">
        <f>'WS H-1-Detail of Tax Amts'!E65</f>
        <v>56329</v>
      </c>
      <c r="F27" s="218"/>
      <c r="G27" s="218"/>
      <c r="H27" s="218"/>
      <c r="I27" s="219">
        <f>+E27</f>
        <v>56329</v>
      </c>
      <c r="J27" s="218"/>
      <c r="K27" s="218"/>
      <c r="L27" s="218"/>
      <c r="M27" s="219"/>
    </row>
    <row r="28" spans="1:15" ht="18">
      <c r="A28" s="114">
        <f>+A27+1</f>
        <v>11</v>
      </c>
      <c r="B28" s="115"/>
      <c r="C28" s="218" t="s">
        <v>316</v>
      </c>
      <c r="D28" s="1331"/>
      <c r="E28" s="1332">
        <f>'WS H-1-Detail of Tax Amts'!E67</f>
        <v>175292</v>
      </c>
      <c r="F28" s="218"/>
      <c r="G28" s="218"/>
      <c r="H28" s="218"/>
      <c r="I28" s="219">
        <f>+E28</f>
        <v>175292</v>
      </c>
      <c r="J28" s="1339"/>
      <c r="K28" s="218"/>
      <c r="L28" s="218"/>
      <c r="M28" s="219"/>
    </row>
    <row r="29" spans="1:15" ht="18">
      <c r="A29" s="114" t="s">
        <v>115</v>
      </c>
      <c r="B29" s="115"/>
      <c r="C29" s="218"/>
      <c r="D29" s="1331"/>
      <c r="E29" s="1335"/>
      <c r="F29" s="218"/>
      <c r="G29" s="218"/>
      <c r="H29" s="218"/>
      <c r="I29" s="219"/>
      <c r="J29" s="128"/>
      <c r="K29" s="130"/>
      <c r="L29" s="130"/>
      <c r="M29" s="219"/>
    </row>
    <row r="30" spans="1:15" ht="18">
      <c r="A30" s="114">
        <f>A28+1</f>
        <v>12</v>
      </c>
      <c r="B30" s="115"/>
      <c r="C30" s="1336" t="s">
        <v>441</v>
      </c>
      <c r="D30" s="1331"/>
      <c r="E30" s="1335"/>
      <c r="F30" s="218"/>
      <c r="G30" s="218"/>
      <c r="H30" s="218"/>
      <c r="I30" s="219"/>
      <c r="J30" s="128"/>
      <c r="K30" s="130"/>
      <c r="L30" s="130"/>
      <c r="M30" s="219"/>
    </row>
    <row r="31" spans="1:15" ht="18">
      <c r="A31" s="114">
        <f>A30+1</f>
        <v>13</v>
      </c>
      <c r="B31" s="115"/>
      <c r="C31" s="1340" t="s">
        <v>442</v>
      </c>
      <c r="D31" s="1341"/>
      <c r="E31" s="1332">
        <f>'WS H-1-Detail of Tax Amts'!E73</f>
        <v>0</v>
      </c>
      <c r="F31" s="1340"/>
      <c r="G31" s="218"/>
      <c r="H31" s="218"/>
      <c r="I31" s="219"/>
      <c r="J31" s="128"/>
      <c r="K31" s="130"/>
      <c r="L31" s="130"/>
      <c r="M31" s="219">
        <f>E31</f>
        <v>0</v>
      </c>
    </row>
    <row r="32" spans="1:15" ht="18">
      <c r="A32" s="114"/>
      <c r="B32" s="115"/>
      <c r="C32" s="218"/>
      <c r="D32" s="1331"/>
      <c r="E32" s="1335"/>
      <c r="F32" s="218"/>
      <c r="G32" s="218"/>
      <c r="H32" s="218"/>
      <c r="I32" s="219"/>
      <c r="J32" s="128"/>
      <c r="K32" s="130"/>
      <c r="L32" s="130"/>
      <c r="M32" s="219"/>
    </row>
    <row r="33" spans="1:13" ht="18">
      <c r="A33" s="122">
        <f>+A31+1</f>
        <v>14</v>
      </c>
      <c r="B33" s="123"/>
      <c r="C33" s="1336" t="s">
        <v>323</v>
      </c>
      <c r="D33" s="1342"/>
      <c r="E33" s="1335"/>
      <c r="F33" s="218"/>
      <c r="G33" s="219"/>
      <c r="H33" s="219"/>
      <c r="I33" s="219"/>
      <c r="J33" s="219"/>
      <c r="K33" s="219"/>
      <c r="L33" s="219"/>
      <c r="M33" s="219"/>
    </row>
    <row r="34" spans="1:13" ht="18">
      <c r="A34" s="122">
        <f>A33+1</f>
        <v>15</v>
      </c>
      <c r="B34" s="123"/>
      <c r="C34" s="218" t="s">
        <v>440</v>
      </c>
      <c r="D34" s="1342"/>
      <c r="E34" s="1332">
        <f>'WS H-1-Detail of Tax Amts'!E77</f>
        <v>21043738</v>
      </c>
      <c r="F34" s="1340"/>
      <c r="G34" s="219"/>
      <c r="H34" s="219"/>
      <c r="I34" s="219"/>
      <c r="J34" s="219"/>
      <c r="K34" s="219"/>
      <c r="L34" s="219"/>
      <c r="M34" s="219">
        <f>E34</f>
        <v>21043738</v>
      </c>
    </row>
    <row r="35" spans="1:13" ht="18">
      <c r="A35" s="114">
        <f>A34+1</f>
        <v>16</v>
      </c>
      <c r="B35" s="115"/>
      <c r="C35" s="218" t="s">
        <v>317</v>
      </c>
      <c r="D35" s="1331"/>
      <c r="E35" s="1343">
        <f>'WS H-1-Detail of Tax Amts'!E81</f>
        <v>5278877</v>
      </c>
      <c r="F35" s="218"/>
      <c r="G35" s="219"/>
      <c r="H35" s="219"/>
      <c r="I35" s="219"/>
      <c r="J35" s="219"/>
      <c r="K35" s="219">
        <f>+E35</f>
        <v>5278877</v>
      </c>
      <c r="L35" s="219"/>
      <c r="M35" s="219"/>
    </row>
    <row r="36" spans="1:13" ht="18">
      <c r="A36" s="114">
        <f t="shared" ref="A36:A42" si="0">+A35+1</f>
        <v>17</v>
      </c>
      <c r="B36" s="115"/>
      <c r="C36" s="218" t="s">
        <v>318</v>
      </c>
      <c r="D36" s="2"/>
      <c r="E36" s="1343">
        <f>'WS H-1-Detail of Tax Amts'!E85</f>
        <v>11163715</v>
      </c>
      <c r="F36" s="218"/>
      <c r="G36" s="1343"/>
      <c r="H36" s="1343"/>
      <c r="I36" s="1343"/>
      <c r="J36" s="1343"/>
      <c r="K36" s="219">
        <f>+E36</f>
        <v>11163715</v>
      </c>
      <c r="L36" s="1343"/>
      <c r="M36" s="219"/>
    </row>
    <row r="37" spans="1:13" ht="18">
      <c r="A37" s="114">
        <f>+A36+1</f>
        <v>18</v>
      </c>
      <c r="B37" s="115"/>
      <c r="C37" s="218" t="s">
        <v>319</v>
      </c>
      <c r="D37" s="2"/>
      <c r="E37" s="1343">
        <f>'WS H-1-Detail of Tax Amts'!E95</f>
        <v>2020</v>
      </c>
      <c r="F37" s="218"/>
      <c r="G37" s="219"/>
      <c r="H37" s="219"/>
      <c r="I37" s="219"/>
      <c r="J37" s="219"/>
      <c r="K37" s="219">
        <f>+E37</f>
        <v>2020</v>
      </c>
      <c r="L37" s="219"/>
      <c r="M37" s="219"/>
    </row>
    <row r="38" spans="1:13" ht="18">
      <c r="A38" s="114">
        <f t="shared" si="0"/>
        <v>19</v>
      </c>
      <c r="B38" s="115"/>
      <c r="C38" s="218" t="s">
        <v>320</v>
      </c>
      <c r="D38" s="1331"/>
      <c r="E38" s="1343">
        <f>'WS H-1-Detail of Tax Amts'!E102</f>
        <v>1310</v>
      </c>
      <c r="F38" s="218"/>
      <c r="G38" s="219"/>
      <c r="H38" s="219"/>
      <c r="I38" s="219"/>
      <c r="J38" s="219"/>
      <c r="K38" s="219">
        <f>+E38</f>
        <v>1310</v>
      </c>
      <c r="L38" s="219"/>
      <c r="M38" s="219"/>
    </row>
    <row r="39" spans="1:13" ht="18">
      <c r="A39" s="114">
        <f t="shared" si="0"/>
        <v>20</v>
      </c>
      <c r="B39" s="115"/>
      <c r="C39" s="218" t="s">
        <v>321</v>
      </c>
      <c r="D39" s="1331"/>
      <c r="E39" s="1343">
        <f>'WS H-1-Detail of Tax Amts'!E105</f>
        <v>-26</v>
      </c>
      <c r="F39" s="1340"/>
      <c r="G39" s="219"/>
      <c r="H39" s="219"/>
      <c r="I39" s="219"/>
      <c r="J39" s="219"/>
      <c r="K39" s="219"/>
      <c r="L39" s="219"/>
      <c r="M39" s="219">
        <f>+E39</f>
        <v>-26</v>
      </c>
    </row>
    <row r="40" spans="1:13" ht="19.5">
      <c r="A40" s="114">
        <f t="shared" si="0"/>
        <v>21</v>
      </c>
      <c r="B40" s="110"/>
      <c r="C40" s="218"/>
      <c r="D40" s="218"/>
      <c r="E40" s="1343">
        <f>'WS H-1-Detail of Tax Amts'!E111</f>
        <v>15649</v>
      </c>
      <c r="F40" s="218"/>
      <c r="G40" s="219"/>
      <c r="H40" s="219"/>
      <c r="I40" s="219"/>
      <c r="J40" s="219"/>
      <c r="K40" s="219"/>
      <c r="L40" s="219"/>
      <c r="M40" s="219">
        <f>+E40</f>
        <v>15649</v>
      </c>
    </row>
    <row r="41" spans="1:13" ht="19.5">
      <c r="A41" s="114">
        <f t="shared" si="0"/>
        <v>22</v>
      </c>
      <c r="B41" s="110"/>
      <c r="C41" s="2"/>
      <c r="D41" s="1340"/>
      <c r="E41" s="1343">
        <f>'WS H-1-Detail of Tax Amts'!E114</f>
        <v>0</v>
      </c>
      <c r="F41" s="1340"/>
      <c r="G41" s="219"/>
      <c r="H41" s="219"/>
      <c r="I41" s="219"/>
      <c r="J41" s="219"/>
      <c r="K41" s="219"/>
      <c r="L41" s="219"/>
      <c r="M41" s="219">
        <f>+E41</f>
        <v>0</v>
      </c>
    </row>
    <row r="42" spans="1:13" ht="19.5">
      <c r="A42" s="114">
        <f t="shared" si="0"/>
        <v>23</v>
      </c>
      <c r="B42" s="110"/>
      <c r="C42" s="2"/>
      <c r="D42" s="1340"/>
      <c r="E42" s="1343"/>
      <c r="F42" s="1340"/>
      <c r="G42" s="219"/>
      <c r="H42" s="219"/>
      <c r="I42" s="219"/>
      <c r="J42" s="219"/>
      <c r="K42" s="219"/>
      <c r="L42" s="219"/>
      <c r="M42" s="219"/>
    </row>
    <row r="43" spans="1:13" ht="18.75" thickBot="1">
      <c r="A43" s="114">
        <f>A42+1</f>
        <v>24</v>
      </c>
      <c r="B43" s="230"/>
      <c r="C43" s="218" t="s">
        <v>312</v>
      </c>
      <c r="D43" s="2"/>
      <c r="E43" s="1344">
        <f>SUM(E17:E41)</f>
        <v>134669296</v>
      </c>
      <c r="F43" s="218"/>
      <c r="G43" s="1344">
        <f>SUM(G17:G41)</f>
        <v>74324513</v>
      </c>
      <c r="H43" s="129"/>
      <c r="I43" s="1344">
        <f>SUM(I17:I41)</f>
        <v>9042366</v>
      </c>
      <c r="J43" s="129"/>
      <c r="K43" s="1344">
        <f>SUM(K17:K41)</f>
        <v>16445922</v>
      </c>
      <c r="L43" s="130"/>
      <c r="M43" s="1344">
        <f>SUM(M17:M41)</f>
        <v>34856495</v>
      </c>
    </row>
    <row r="44" spans="1:13" ht="15.75" thickTop="1">
      <c r="A44" s="6"/>
      <c r="B44" s="230"/>
      <c r="C44" s="218" t="s">
        <v>382</v>
      </c>
      <c r="D44" s="2"/>
      <c r="E44" s="2"/>
      <c r="F44" s="218"/>
      <c r="G44" s="129"/>
      <c r="H44" s="129"/>
      <c r="I44" s="129"/>
      <c r="J44" s="129"/>
      <c r="K44" s="130"/>
      <c r="L44" s="130"/>
      <c r="M44" s="130"/>
    </row>
    <row r="45" spans="1:13">
      <c r="A45" s="6"/>
      <c r="B45" s="230"/>
      <c r="C45" s="1340" t="s">
        <v>79</v>
      </c>
      <c r="D45" s="2"/>
      <c r="E45" s="2"/>
      <c r="F45" s="218"/>
      <c r="G45" s="129"/>
      <c r="H45" s="129"/>
      <c r="I45" s="129"/>
      <c r="J45" s="129"/>
      <c r="K45" s="130"/>
      <c r="L45" s="130"/>
      <c r="M45" s="130"/>
    </row>
    <row r="46" spans="1:13" ht="15.75">
      <c r="A46" s="6"/>
      <c r="B46" s="230"/>
      <c r="C46" s="1429" t="s">
        <v>463</v>
      </c>
      <c r="D46" s="1429"/>
      <c r="E46" s="1429"/>
      <c r="F46" s="1429"/>
      <c r="G46" s="1429"/>
      <c r="H46" s="1429"/>
      <c r="I46" s="1429"/>
      <c r="J46" s="1429"/>
      <c r="K46" s="1429"/>
      <c r="L46" s="1429"/>
      <c r="M46" s="1429"/>
    </row>
    <row r="47" spans="1:13" ht="18">
      <c r="A47" s="114"/>
      <c r="C47" s="218"/>
      <c r="D47" s="218"/>
      <c r="E47" s="1345" t="s">
        <v>230</v>
      </c>
      <c r="F47" s="218"/>
      <c r="G47" s="1345" t="s">
        <v>334</v>
      </c>
      <c r="H47" s="1345"/>
      <c r="I47" s="1345" t="s">
        <v>439</v>
      </c>
      <c r="J47" s="1345"/>
      <c r="K47" s="1345" t="s">
        <v>335</v>
      </c>
      <c r="L47" s="1345"/>
      <c r="M47" s="1345" t="s">
        <v>119</v>
      </c>
    </row>
    <row r="48" spans="1:13" ht="18">
      <c r="A48" s="157">
        <f>+A43+1</f>
        <v>25</v>
      </c>
      <c r="B48" s="158"/>
      <c r="C48" s="1346" t="str">
        <f>"Functionalized Net Plant (TCOS, Lns "&amp;TCOS!B90&amp;" thru "&amp;TCOS!B95&amp;")"</f>
        <v>Functionalized Net Plant (TCOS, Lns 41 thru 46)</v>
      </c>
      <c r="D48" s="1340"/>
      <c r="E48" s="1347">
        <f>+TCOS!G90</f>
        <v>3983471219.3238473</v>
      </c>
      <c r="F48" s="1346"/>
      <c r="G48" s="1347">
        <f>+TCOS!G91</f>
        <v>2378951844.8000002</v>
      </c>
      <c r="H48" s="1346"/>
      <c r="I48" s="1347">
        <f>+TCOS!G92</f>
        <v>2536280232.902308</v>
      </c>
      <c r="J48" s="1346"/>
      <c r="K48" s="1348">
        <f>+TCOS!G93</f>
        <v>157875293.50846153</v>
      </c>
      <c r="L48" s="1340"/>
      <c r="M48" s="1349">
        <f>SUM(E48:K48)</f>
        <v>9056578590.5346165</v>
      </c>
    </row>
    <row r="49" spans="1:15" ht="18">
      <c r="A49" s="157"/>
      <c r="B49" s="158"/>
      <c r="C49" s="1334" t="s">
        <v>981</v>
      </c>
      <c r="D49" s="1340"/>
      <c r="E49" s="1349"/>
      <c r="F49" s="1340"/>
      <c r="G49" s="1350"/>
      <c r="H49" s="1340"/>
      <c r="I49" s="1349"/>
      <c r="J49" s="1340"/>
      <c r="K49" s="1351"/>
      <c r="L49" s="1340"/>
      <c r="M49" s="1352"/>
      <c r="O49"/>
    </row>
    <row r="50" spans="1:15" ht="18">
      <c r="A50" s="157">
        <f>+A48+1</f>
        <v>26</v>
      </c>
      <c r="B50" s="158"/>
      <c r="C50" s="1340" t="str">
        <f>"Percentage of Plant in "&amp;C49&amp;""</f>
        <v>Percentage of Plant in VIRGINIA JURISDICTION</v>
      </c>
      <c r="D50" s="1340"/>
      <c r="E50" s="1353">
        <v>7.8600000000000003E-2</v>
      </c>
      <c r="F50" s="1350"/>
      <c r="G50" s="1353">
        <v>0.56140000000000001</v>
      </c>
      <c r="H50" s="1350"/>
      <c r="I50" s="1353">
        <v>0.55940000000000001</v>
      </c>
      <c r="J50" s="1350"/>
      <c r="K50" s="1353">
        <v>0.53420000000000001</v>
      </c>
      <c r="L50" s="1340"/>
      <c r="M50" s="1352"/>
      <c r="O50"/>
    </row>
    <row r="51" spans="1:15" ht="18">
      <c r="A51" s="157">
        <f t="shared" ref="A51:A57" si="1">+A50+1</f>
        <v>27</v>
      </c>
      <c r="B51" s="158"/>
      <c r="C51" s="1346" t="str">
        <f>"Net Plant in "&amp;C49&amp;" (Ln "&amp;A48&amp;" * Ln "&amp;A50&amp;")"</f>
        <v>Net Plant in VIRGINIA JURISDICTION (Ln 25 * Ln 26)</v>
      </c>
      <c r="D51" s="1340"/>
      <c r="E51" s="1349">
        <f>+E48*E50</f>
        <v>313100837.83885443</v>
      </c>
      <c r="F51" s="1340"/>
      <c r="G51" s="1349">
        <f>+G48*G50</f>
        <v>1335543565.6707201</v>
      </c>
      <c r="H51" s="1340"/>
      <c r="I51" s="1349">
        <f>+I48*I50</f>
        <v>1418795162.2855511</v>
      </c>
      <c r="J51" s="1340"/>
      <c r="K51" s="1349">
        <f>+K48*K50</f>
        <v>84336981.79222016</v>
      </c>
      <c r="L51" s="1340"/>
      <c r="M51" s="1349">
        <f>SUM(E51:K51)</f>
        <v>3151776547.5873456</v>
      </c>
      <c r="O51"/>
    </row>
    <row r="52" spans="1:15" ht="18">
      <c r="A52" s="157">
        <f t="shared" si="1"/>
        <v>28</v>
      </c>
      <c r="B52" s="158"/>
      <c r="C52" s="1346" t="s">
        <v>226</v>
      </c>
      <c r="D52" s="1340"/>
      <c r="E52" s="1354">
        <v>42778846</v>
      </c>
      <c r="F52" s="1340"/>
      <c r="G52" s="1355"/>
      <c r="H52" s="1340"/>
      <c r="I52" s="1355"/>
      <c r="J52" s="1340"/>
      <c r="K52" s="1356"/>
      <c r="L52" s="1340"/>
      <c r="M52" s="1349"/>
      <c r="O52"/>
    </row>
    <row r="53" spans="1:15" ht="18">
      <c r="A53" s="157">
        <f t="shared" si="1"/>
        <v>29</v>
      </c>
      <c r="B53" s="158"/>
      <c r="C53" s="1340" t="str">
        <f>"Taxable Property Basis (Ln "&amp;A51&amp;" - Ln "&amp;A52&amp;")"</f>
        <v>Taxable Property Basis (Ln 27 - Ln 28)</v>
      </c>
      <c r="D53" s="1340"/>
      <c r="E53" s="1349">
        <f>+E51-E52</f>
        <v>270321991.83885443</v>
      </c>
      <c r="F53" s="1340"/>
      <c r="G53" s="1349">
        <f>+G51-G52</f>
        <v>1335543565.6707201</v>
      </c>
      <c r="H53" s="1340"/>
      <c r="I53" s="1349">
        <f>+I51-I52</f>
        <v>1418795162.2855511</v>
      </c>
      <c r="J53" s="1340"/>
      <c r="K53" s="1349">
        <f>+K51-K52</f>
        <v>84336981.79222016</v>
      </c>
      <c r="L53" s="1340"/>
      <c r="M53" s="1349">
        <f>SUM(E53:K53)</f>
        <v>3108997701.5873456</v>
      </c>
      <c r="O53"/>
    </row>
    <row r="54" spans="1:15" ht="18">
      <c r="A54" s="157">
        <f t="shared" si="1"/>
        <v>30</v>
      </c>
      <c r="B54" s="158"/>
      <c r="C54" s="1343" t="s">
        <v>462</v>
      </c>
      <c r="D54" s="1340"/>
      <c r="E54" s="1353">
        <v>1</v>
      </c>
      <c r="F54" s="1350"/>
      <c r="G54" s="1353">
        <v>1</v>
      </c>
      <c r="H54" s="1350"/>
      <c r="I54" s="1353">
        <v>1</v>
      </c>
      <c r="J54" s="1350"/>
      <c r="K54" s="1353">
        <v>1</v>
      </c>
      <c r="L54" s="1340"/>
      <c r="M54" s="1357">
        <f>SUM(E54:K54)</f>
        <v>4</v>
      </c>
    </row>
    <row r="55" spans="1:15" ht="18">
      <c r="A55" s="157">
        <f t="shared" si="1"/>
        <v>31</v>
      </c>
      <c r="B55" s="158"/>
      <c r="C55" s="1346" t="str">
        <f>"Weighted Net Plant (Ln "&amp;A53&amp;" * Ln "&amp;A54&amp;")"</f>
        <v>Weighted Net Plant (Ln 29 * Ln 30)</v>
      </c>
      <c r="D55" s="1340"/>
      <c r="E55" s="1349">
        <f>+E53*E54</f>
        <v>270321991.83885443</v>
      </c>
      <c r="F55" s="1340"/>
      <c r="G55" s="1349">
        <f>+G53*G54</f>
        <v>1335543565.6707201</v>
      </c>
      <c r="H55" s="1340"/>
      <c r="I55" s="1349">
        <f>+I53*I54</f>
        <v>1418795162.2855511</v>
      </c>
      <c r="J55" s="1340"/>
      <c r="K55" s="1349">
        <f>+K53*K54</f>
        <v>84336981.79222016</v>
      </c>
      <c r="L55" s="1340"/>
      <c r="M55" s="1349"/>
    </row>
    <row r="56" spans="1:15" ht="18">
      <c r="A56" s="157">
        <f t="shared" si="1"/>
        <v>32</v>
      </c>
      <c r="B56" s="158"/>
      <c r="C56" s="1340" t="str">
        <f>+"General Plant Allocator (Ln "&amp;A55&amp;" / (Total - General Plant))"</f>
        <v>General Plant Allocator (Ln 31 / (Total - General Plant))</v>
      </c>
      <c r="D56" s="1340"/>
      <c r="E56" s="1358">
        <f>IF(E54=0,0,+E55/($E55+$G55+$I55))</f>
        <v>8.937266585627647E-2</v>
      </c>
      <c r="F56" s="1340"/>
      <c r="G56" s="1358">
        <f>IF(G54=0,0,+G55/($E55+$G55+$I55))</f>
        <v>0.44155152904593636</v>
      </c>
      <c r="H56" s="1340"/>
      <c r="I56" s="1358">
        <f>IF(I54=0,0,+I55/($E55+$G55+$I55))</f>
        <v>0.46907580509778724</v>
      </c>
      <c r="J56" s="1340"/>
      <c r="K56" s="1358">
        <v>-1</v>
      </c>
      <c r="L56" s="1340"/>
      <c r="M56" s="1340"/>
    </row>
    <row r="57" spans="1:15" ht="18">
      <c r="A57" s="157">
        <f t="shared" si="1"/>
        <v>33</v>
      </c>
      <c r="B57" s="158"/>
      <c r="C57" s="1340" t="str">
        <f>"Functionalized General Plant (Ln "&amp;A56&amp;" * General Plant)"</f>
        <v>Functionalized General Plant (Ln 32 * General Plant)</v>
      </c>
      <c r="D57" s="1340"/>
      <c r="E57" s="1359">
        <f>ROUND($K55*E56,0)</f>
        <v>7537421</v>
      </c>
      <c r="F57" s="1340"/>
      <c r="G57" s="1359">
        <f>+G56*K55</f>
        <v>37239123.265474103</v>
      </c>
      <c r="H57" s="1340"/>
      <c r="I57" s="1359">
        <f>ROUND($K55*I56,0)</f>
        <v>39560438</v>
      </c>
      <c r="J57" s="1340"/>
      <c r="K57" s="1359">
        <f>ROUND($K55*K56,0)</f>
        <v>-84336982</v>
      </c>
      <c r="L57" s="1340"/>
      <c r="M57" s="1349">
        <f>IF(SUM(E57:K57)&lt;&gt;0,0,0)</f>
        <v>0</v>
      </c>
    </row>
    <row r="58" spans="1:15" ht="18">
      <c r="A58" s="157">
        <f>+A57+1</f>
        <v>34</v>
      </c>
      <c r="B58" s="158"/>
      <c r="C58" s="1340" t="str">
        <f>"Weighted "&amp;C49&amp;" Plant (Ln "&amp;A55&amp;" + "&amp;A57&amp;")"</f>
        <v>Weighted VIRGINIA JURISDICTION Plant (Ln 31 + 33)</v>
      </c>
      <c r="D58" s="1340"/>
      <c r="E58" s="1349">
        <f>+E55+E57</f>
        <v>277859412.83885443</v>
      </c>
      <c r="F58" s="1340"/>
      <c r="G58" s="1351">
        <f>+G55+G57</f>
        <v>1372782688.9361942</v>
      </c>
      <c r="H58" s="1340"/>
      <c r="I58" s="1349">
        <f>+I55+I57</f>
        <v>1458355600.2855511</v>
      </c>
      <c r="J58" s="1340"/>
      <c r="K58" s="1349">
        <f>+K55+K57</f>
        <v>-0.20777983963489532</v>
      </c>
      <c r="L58" s="1340"/>
      <c r="M58" s="1349">
        <f>SUM(E58:K58)-SUM(E57:K57)</f>
        <v>3108997701.5873456</v>
      </c>
    </row>
    <row r="59" spans="1:15" ht="18">
      <c r="A59" s="157">
        <f>+A58+1</f>
        <v>35</v>
      </c>
      <c r="B59" s="158"/>
      <c r="C59" s="1340" t="str">
        <f>"Functional Percentage (Ln "&amp;A58&amp;"/Total Ln "&amp;A58&amp;")"</f>
        <v>Functional Percentage (Ln 34/Total Ln 34)</v>
      </c>
      <c r="D59" s="1340"/>
      <c r="E59" s="1350">
        <f>+E58/M58</f>
        <v>8.9372665890678896E-2</v>
      </c>
      <c r="F59" s="1340"/>
      <c r="G59" s="1360">
        <f>+G58/M58</f>
        <v>0.44155152904593636</v>
      </c>
      <c r="H59" s="1340"/>
      <c r="I59" s="1350">
        <f>+I58/M58</f>
        <v>0.46907580521560555</v>
      </c>
      <c r="J59" s="1340"/>
      <c r="K59" s="2"/>
      <c r="L59" s="1340"/>
      <c r="M59" s="1349"/>
    </row>
    <row r="60" spans="1:15" ht="18">
      <c r="A60" s="157"/>
      <c r="B60" s="158"/>
      <c r="C60" s="1334" t="s">
        <v>982</v>
      </c>
      <c r="D60" s="1340"/>
      <c r="E60" s="1349"/>
      <c r="F60" s="1340"/>
      <c r="G60" s="1349"/>
      <c r="H60" s="1340"/>
      <c r="I60" s="1349"/>
      <c r="J60" s="1340"/>
      <c r="K60" s="1351"/>
      <c r="L60" s="1340"/>
      <c r="M60" s="1349"/>
    </row>
    <row r="61" spans="1:15" ht="18">
      <c r="A61" s="157">
        <f>+A59+1</f>
        <v>36</v>
      </c>
      <c r="B61" s="158"/>
      <c r="C61" s="1340" t="str">
        <f>"Percentage of Plant in "&amp;C60&amp;""</f>
        <v>Percentage of Plant in WEST VA JURISDICTION</v>
      </c>
      <c r="D61" s="1340"/>
      <c r="E61" s="1353">
        <v>0.90490000000000004</v>
      </c>
      <c r="F61" s="1350"/>
      <c r="G61" s="1353">
        <v>0.41660000000000003</v>
      </c>
      <c r="H61" s="1350"/>
      <c r="I61" s="1353">
        <v>0.44059999999999999</v>
      </c>
      <c r="J61" s="1350"/>
      <c r="K61" s="1353">
        <v>0.46400000000000002</v>
      </c>
      <c r="L61" s="1340"/>
      <c r="M61" s="1361"/>
    </row>
    <row r="62" spans="1:15" ht="18">
      <c r="A62" s="157">
        <f t="shared" ref="A62:A69" si="2">+A61+1</f>
        <v>37</v>
      </c>
      <c r="B62" s="158"/>
      <c r="C62" s="1346" t="str">
        <f>"Net Plant in "&amp;C60&amp;" (Ln "&amp;A48&amp;" * Ln "&amp;A61&amp;")"</f>
        <v>Net Plant in WEST VA JURISDICTION (Ln 25 * Ln 36)</v>
      </c>
      <c r="D62" s="2"/>
      <c r="E62" s="1349">
        <f>+E61*E48</f>
        <v>3604643106.3661494</v>
      </c>
      <c r="F62" s="1340"/>
      <c r="G62" s="1349">
        <f>+G61*G48</f>
        <v>991071338.54368019</v>
      </c>
      <c r="H62" s="1340"/>
      <c r="I62" s="1349">
        <f>+I61*I48</f>
        <v>1117485070.6167569</v>
      </c>
      <c r="J62" s="1340"/>
      <c r="K62" s="1349">
        <f>+K61*K48</f>
        <v>73254136.187926158</v>
      </c>
      <c r="L62" s="1340"/>
      <c r="M62" s="1349">
        <f>SUM(E62:K62)</f>
        <v>5786453651.7145128</v>
      </c>
    </row>
    <row r="63" spans="1:15" ht="18">
      <c r="A63" s="157">
        <f t="shared" si="2"/>
        <v>38</v>
      </c>
      <c r="B63" s="158"/>
      <c r="C63" s="1346" t="s">
        <v>226</v>
      </c>
      <c r="D63" s="2"/>
      <c r="E63" s="1354">
        <v>2058550399</v>
      </c>
      <c r="F63" s="1340"/>
      <c r="G63" s="1355"/>
      <c r="H63" s="1340"/>
      <c r="I63" s="1355"/>
      <c r="J63" s="1340"/>
      <c r="K63" s="1356"/>
      <c r="L63" s="1340"/>
      <c r="M63" s="1349"/>
    </row>
    <row r="64" spans="1:15" ht="18">
      <c r="A64" s="157">
        <f t="shared" si="2"/>
        <v>39</v>
      </c>
      <c r="B64" s="158"/>
      <c r="C64" s="1340" t="str">
        <f>"Taxable Property Basis (Ln "&amp;A62&amp;" - Ln "&amp;A63&amp;")"</f>
        <v>Taxable Property Basis (Ln 37 - Ln 38)</v>
      </c>
      <c r="D64" s="2"/>
      <c r="E64" s="1349">
        <f>+E62-E63</f>
        <v>1546092707.3661494</v>
      </c>
      <c r="F64" s="1340"/>
      <c r="G64" s="1349">
        <f>+G62-G63</f>
        <v>991071338.54368019</v>
      </c>
      <c r="H64" s="1340"/>
      <c r="I64" s="1349">
        <f>+I62-I63</f>
        <v>1117485070.6167569</v>
      </c>
      <c r="J64" s="1340"/>
      <c r="K64" s="1349">
        <f>+K62-K63</f>
        <v>73254136.187926158</v>
      </c>
      <c r="L64" s="1340"/>
      <c r="M64" s="1349">
        <f>SUM(E64:K64)</f>
        <v>3727903252.7145128</v>
      </c>
    </row>
    <row r="65" spans="1:13" ht="18">
      <c r="A65" s="157">
        <f t="shared" si="2"/>
        <v>40</v>
      </c>
      <c r="B65" s="158"/>
      <c r="C65" s="1343" t="s">
        <v>462</v>
      </c>
      <c r="D65" s="2"/>
      <c r="E65" s="1353">
        <v>1</v>
      </c>
      <c r="F65" s="1350"/>
      <c r="G65" s="1353">
        <v>1</v>
      </c>
      <c r="H65" s="1350"/>
      <c r="I65" s="1353">
        <v>1</v>
      </c>
      <c r="J65" s="1350"/>
      <c r="K65" s="1353">
        <v>1</v>
      </c>
      <c r="L65" s="1340"/>
      <c r="M65" s="1357">
        <f>SUM(E65:K65)</f>
        <v>4</v>
      </c>
    </row>
    <row r="66" spans="1:13" ht="18">
      <c r="A66" s="157">
        <f t="shared" si="2"/>
        <v>41</v>
      </c>
      <c r="B66" s="158"/>
      <c r="C66" s="1346" t="str">
        <f>"Weighted Net Plant (Ln "&amp;A64&amp;" * Ln "&amp;A65&amp;")"</f>
        <v>Weighted Net Plant (Ln 39 * Ln 40)</v>
      </c>
      <c r="D66" s="2"/>
      <c r="E66" s="1349">
        <f>+E64*E65</f>
        <v>1546092707.3661494</v>
      </c>
      <c r="F66" s="1340"/>
      <c r="G66" s="1349">
        <f>+G64*G65</f>
        <v>991071338.54368019</v>
      </c>
      <c r="H66" s="1340"/>
      <c r="I66" s="1349">
        <f>+I64*I65</f>
        <v>1117485070.6167569</v>
      </c>
      <c r="J66" s="1340"/>
      <c r="K66" s="1349">
        <f>+K64*K65</f>
        <v>73254136.187926158</v>
      </c>
      <c r="L66" s="1340"/>
      <c r="M66" s="1349"/>
    </row>
    <row r="67" spans="1:13" ht="18">
      <c r="A67" s="157">
        <f t="shared" si="2"/>
        <v>42</v>
      </c>
      <c r="B67" s="158"/>
      <c r="C67" s="1340" t="str">
        <f>+"General Plant Allocator (Ln "&amp;A66&amp;" / (Total - General Plant))"</f>
        <v>General Plant Allocator (Ln 41 / (Total - General Plant))</v>
      </c>
      <c r="D67" s="1340"/>
      <c r="E67" s="1358">
        <f>IF(E65=0,0,+E66/($E66+$G66+$I66))</f>
        <v>0.42304819370335905</v>
      </c>
      <c r="F67" s="1340"/>
      <c r="G67" s="1358">
        <f>IF(G65=0,0,+G66/($E66+$G66+$I66))</f>
        <v>0.27118098261799861</v>
      </c>
      <c r="H67" s="1340"/>
      <c r="I67" s="1358">
        <f>IF(I65=0,0,+I66/($E66+$G66+$I66))</f>
        <v>0.30577082367864233</v>
      </c>
      <c r="J67" s="1340"/>
      <c r="K67" s="1358">
        <v>-1</v>
      </c>
      <c r="L67" s="1340"/>
      <c r="M67" s="1340"/>
    </row>
    <row r="68" spans="1:13" ht="18">
      <c r="A68" s="157">
        <f t="shared" si="2"/>
        <v>43</v>
      </c>
      <c r="B68" s="158"/>
      <c r="C68" s="1340" t="str">
        <f>"Functionalized General Plant (Ln "&amp;A67&amp;" * General Plant)"</f>
        <v>Functionalized General Plant (Ln 42 * General Plant)</v>
      </c>
      <c r="D68" s="1340"/>
      <c r="E68" s="1359">
        <f>ROUND($K66*E67,0)</f>
        <v>30990030</v>
      </c>
      <c r="F68" s="1340"/>
      <c r="G68" s="1359">
        <f>+G67*K66</f>
        <v>19865128.632274505</v>
      </c>
      <c r="H68" s="1340"/>
      <c r="I68" s="1359">
        <f>ROUND($K66*I67,0)</f>
        <v>22398978</v>
      </c>
      <c r="J68" s="1340"/>
      <c r="K68" s="1359">
        <f>ROUND($K66*K67,0)</f>
        <v>-73254136</v>
      </c>
      <c r="L68" s="1340"/>
      <c r="M68" s="1349">
        <f>IF(SUM(E68:K68)&lt;&gt;0,0,0)</f>
        <v>0</v>
      </c>
    </row>
    <row r="69" spans="1:13" ht="18">
      <c r="A69" s="157">
        <f t="shared" si="2"/>
        <v>44</v>
      </c>
      <c r="B69" s="158"/>
      <c r="C69" s="1340" t="str">
        <f>"Weighted "&amp;C60&amp;" Plant (Ln "&amp;A66&amp;" + "&amp;A68&amp;")"</f>
        <v>Weighted WEST VA JURISDICTION Plant (Ln 41 + 43)</v>
      </c>
      <c r="D69" s="1340"/>
      <c r="E69" s="1349">
        <f>+E66+E68</f>
        <v>1577082737.3661494</v>
      </c>
      <c r="F69" s="1340"/>
      <c r="G69" s="1351">
        <f>+G66+G68</f>
        <v>1010936467.1759547</v>
      </c>
      <c r="H69" s="1340"/>
      <c r="I69" s="1349">
        <f>+I66+I68</f>
        <v>1139884048.6167569</v>
      </c>
      <c r="J69" s="1340"/>
      <c r="K69" s="1349">
        <f>+K66+K68</f>
        <v>0.18792615830898285</v>
      </c>
      <c r="L69" s="1340"/>
      <c r="M69" s="1349">
        <f>SUM(E69:K69)-SUM(E68:K68)</f>
        <v>3727903252.7145128</v>
      </c>
    </row>
    <row r="70" spans="1:13" ht="18">
      <c r="A70" s="157">
        <f>+A69+1</f>
        <v>45</v>
      </c>
      <c r="B70" s="158"/>
      <c r="C70" s="1340" t="str">
        <f>"Functional Percentage (Ln "&amp;A69&amp;"/Total Ln "&amp;A69&amp;")"</f>
        <v>Functional Percentage (Ln 44/Total Ln 44)</v>
      </c>
      <c r="D70" s="1340"/>
      <c r="E70" s="1350">
        <f>+E69/M69</f>
        <v>0.42304819370453878</v>
      </c>
      <c r="F70" s="1340"/>
      <c r="G70" s="1360">
        <f>+G69/M69</f>
        <v>0.27118098261799861</v>
      </c>
      <c r="H70" s="1340"/>
      <c r="I70" s="1350">
        <f>+I69/M69</f>
        <v>0.30577082379665782</v>
      </c>
      <c r="J70" s="1340"/>
      <c r="K70" s="2"/>
      <c r="L70" s="1340"/>
      <c r="M70" s="1349"/>
    </row>
    <row r="71" spans="1:13" ht="18">
      <c r="A71" s="157"/>
      <c r="B71" s="158"/>
      <c r="C71" s="1362" t="s">
        <v>1338</v>
      </c>
      <c r="D71" s="1340"/>
      <c r="E71" s="1363"/>
      <c r="F71" s="1364"/>
      <c r="G71" s="1365"/>
      <c r="H71" s="1364"/>
      <c r="I71" s="1363"/>
      <c r="J71" s="1364"/>
      <c r="K71" s="1366"/>
      <c r="L71" s="1340"/>
      <c r="M71" s="1349"/>
    </row>
    <row r="72" spans="1:13" ht="18">
      <c r="A72" s="157">
        <f>+A70+1</f>
        <v>46</v>
      </c>
      <c r="B72" s="158"/>
      <c r="C72" s="1340" t="str">
        <f>"Net Plant in "&amp;C71&amp;" (Ln "&amp;A48&amp;" - Ln "&amp;A51&amp;" - Ln "&amp;A62&amp;")"</f>
        <v>Net Plant in KINGSPORT JURISDICTION (Ln 25 - Ln 27 - Ln 37)</v>
      </c>
      <c r="D72" s="1340"/>
      <c r="E72" s="1363">
        <f>+E48-E51-E62</f>
        <v>65727275.118843555</v>
      </c>
      <c r="F72" s="1364"/>
      <c r="G72" s="1363">
        <f>+G48-G51-G62</f>
        <v>52336940.585599899</v>
      </c>
      <c r="H72" s="1364"/>
      <c r="I72" s="1363">
        <f>+I48-I51-I62</f>
        <v>0</v>
      </c>
      <c r="J72" s="1364"/>
      <c r="K72" s="1363">
        <f>+K48-K51-K62</f>
        <v>284175.5283152163</v>
      </c>
      <c r="L72" s="1340"/>
      <c r="M72" s="1349">
        <f>SUM(E72:K72)</f>
        <v>118348391.23275867</v>
      </c>
    </row>
    <row r="73" spans="1:13" ht="18">
      <c r="A73" s="157">
        <f t="shared" ref="A73:A79" si="3">+A72+1</f>
        <v>47</v>
      </c>
      <c r="B73" s="158"/>
      <c r="C73" s="1340" t="s">
        <v>598</v>
      </c>
      <c r="D73" s="1340"/>
      <c r="E73" s="1354"/>
      <c r="F73" s="1364"/>
      <c r="G73" s="1367"/>
      <c r="H73" s="1364"/>
      <c r="I73" s="1367"/>
      <c r="J73" s="1364"/>
      <c r="K73" s="1368"/>
      <c r="L73" s="1340"/>
      <c r="M73" s="1349"/>
    </row>
    <row r="74" spans="1:13" ht="18">
      <c r="A74" s="157">
        <f t="shared" si="3"/>
        <v>48</v>
      </c>
      <c r="B74" s="158"/>
      <c r="C74" s="1340" t="s">
        <v>599</v>
      </c>
      <c r="D74" s="1340"/>
      <c r="E74" s="1363">
        <f>+E72-E73</f>
        <v>65727275.118843555</v>
      </c>
      <c r="F74" s="1364"/>
      <c r="G74" s="1363">
        <f>+G72-G73</f>
        <v>52336940.585599899</v>
      </c>
      <c r="H74" s="1364"/>
      <c r="I74" s="1363">
        <f>+I72-I73</f>
        <v>0</v>
      </c>
      <c r="J74" s="1364"/>
      <c r="K74" s="1363">
        <f>+K72-K73</f>
        <v>284175.5283152163</v>
      </c>
      <c r="L74" s="1340"/>
      <c r="M74" s="1349">
        <f>SUM(E74:K74)</f>
        <v>118348391.23275867</v>
      </c>
    </row>
    <row r="75" spans="1:13" ht="18">
      <c r="A75" s="157">
        <f t="shared" si="3"/>
        <v>49</v>
      </c>
      <c r="B75" s="158"/>
      <c r="C75" s="1343" t="s">
        <v>462</v>
      </c>
      <c r="D75" s="1340"/>
      <c r="E75" s="1353">
        <v>1</v>
      </c>
      <c r="F75" s="1350"/>
      <c r="G75" s="1353">
        <v>1</v>
      </c>
      <c r="H75" s="1350"/>
      <c r="I75" s="1353">
        <v>1</v>
      </c>
      <c r="J75" s="1350"/>
      <c r="K75" s="1353">
        <v>1</v>
      </c>
      <c r="L75" s="1340"/>
      <c r="M75" s="1349"/>
    </row>
    <row r="76" spans="1:13" ht="18">
      <c r="A76" s="157">
        <f t="shared" si="3"/>
        <v>50</v>
      </c>
      <c r="B76" s="158"/>
      <c r="C76" s="1340" t="str">
        <f>"Weighted Net Plant (Ln "&amp;A74&amp;" * Ln "&amp;A75&amp;")"</f>
        <v>Weighted Net Plant (Ln 48 * Ln 49)</v>
      </c>
      <c r="D76" s="1340"/>
      <c r="E76" s="1363">
        <f>+E74*E75</f>
        <v>65727275.118843555</v>
      </c>
      <c r="F76" s="1364"/>
      <c r="G76" s="1363">
        <f>+G74*G75</f>
        <v>52336940.585599899</v>
      </c>
      <c r="H76" s="1364"/>
      <c r="I76" s="1363">
        <f>+I74*I75</f>
        <v>0</v>
      </c>
      <c r="J76" s="1364"/>
      <c r="K76" s="1363">
        <f>+K74*K75</f>
        <v>284175.5283152163</v>
      </c>
      <c r="L76" s="1340"/>
      <c r="M76" s="1349"/>
    </row>
    <row r="77" spans="1:13" ht="18">
      <c r="A77" s="157">
        <f t="shared" si="3"/>
        <v>51</v>
      </c>
      <c r="B77" s="158"/>
      <c r="C77" s="1340" t="str">
        <f>+"General Plant Allocator (Ln "&amp;A76&amp;" / (Total - General Plant)"</f>
        <v>General Plant Allocator (Ln 50 / (Total - General Plant)</v>
      </c>
      <c r="D77" s="1340"/>
      <c r="E77" s="1369">
        <f>IF(E75=0,0,+E76/($E76+$G76+$I76))</f>
        <v>0.55670784518979233</v>
      </c>
      <c r="F77" s="1364"/>
      <c r="G77" s="1369">
        <f>IF(G75=0,0,+G76/($E76+$G76+$I76))</f>
        <v>0.44329215481020767</v>
      </c>
      <c r="H77" s="1364"/>
      <c r="I77" s="1369">
        <f>IF(I75=0,0,+I76/($E76+$G76+$I76))</f>
        <v>0</v>
      </c>
      <c r="J77" s="1364"/>
      <c r="K77" s="1369">
        <v>-1</v>
      </c>
      <c r="L77" s="1340"/>
      <c r="M77" s="1349"/>
    </row>
    <row r="78" spans="1:13" ht="18">
      <c r="A78" s="157">
        <f t="shared" si="3"/>
        <v>52</v>
      </c>
      <c r="B78" s="158"/>
      <c r="C78" s="1340" t="str">
        <f>"Functionalized General Plant (Ln "&amp;A78&amp;" * General Plant)"</f>
        <v>Functionalized General Plant (Ln 52 * General Plant)</v>
      </c>
      <c r="D78" s="1340"/>
      <c r="E78" s="1370">
        <f>ROUND($K76*E77,0)</f>
        <v>158203</v>
      </c>
      <c r="F78" s="1364"/>
      <c r="G78" s="1370">
        <f>ROUND($K76*G77,0)</f>
        <v>125973</v>
      </c>
      <c r="H78" s="1364"/>
      <c r="I78" s="1370">
        <f>ROUND($K76*I77,0)</f>
        <v>0</v>
      </c>
      <c r="J78" s="1364"/>
      <c r="K78" s="1370">
        <f>ROUND($K76*K77,0)</f>
        <v>-284176</v>
      </c>
      <c r="L78" s="1340"/>
      <c r="M78" s="1349"/>
    </row>
    <row r="79" spans="1:13" ht="18">
      <c r="A79" s="157">
        <f t="shared" si="3"/>
        <v>53</v>
      </c>
      <c r="B79" s="158"/>
      <c r="C79" s="1340" t="str">
        <f>"Weighted "&amp;C71&amp;" Plant (Ln "&amp;A76&amp;" + "&amp;A78&amp;")"</f>
        <v>Weighted KINGSPORT JURISDICTION Plant (Ln 50 + 52)</v>
      </c>
      <c r="D79" s="1340"/>
      <c r="E79" s="1363">
        <f>+E76+E78</f>
        <v>65885478.118843555</v>
      </c>
      <c r="F79" s="1364"/>
      <c r="G79" s="1371">
        <f>+G76+G78</f>
        <v>52462913.585599899</v>
      </c>
      <c r="H79" s="1364"/>
      <c r="I79" s="1363">
        <f>+I76+I78</f>
        <v>0</v>
      </c>
      <c r="J79" s="1364"/>
      <c r="K79" s="1363">
        <f>+K76+K78</f>
        <v>-0.4716847836971283</v>
      </c>
      <c r="L79" s="1340"/>
      <c r="M79" s="1349">
        <f>SUM(E79:K79)-SUM(E78:K78)</f>
        <v>118348391.23275867</v>
      </c>
    </row>
    <row r="80" spans="1:13" ht="18">
      <c r="A80" s="157">
        <f>+A79+1</f>
        <v>54</v>
      </c>
      <c r="B80" s="158"/>
      <c r="C80" s="1340" t="str">
        <f>"Functional Percentage (Ln "&amp;A79&amp;"/Total Ln "&amp;A79&amp;")"</f>
        <v>Functional Percentage (Ln 53/Total Ln 53)</v>
      </c>
      <c r="D80" s="1340"/>
      <c r="E80" s="1366">
        <f>+E79/M79</f>
        <v>0.55670784733579504</v>
      </c>
      <c r="F80" s="1364"/>
      <c r="G80" s="1365">
        <f>+G79/M79</f>
        <v>0.4432921566497664</v>
      </c>
      <c r="H80" s="1364"/>
      <c r="I80" s="1366">
        <f>+I79/M79</f>
        <v>0</v>
      </c>
      <c r="J80" s="307"/>
      <c r="K80" s="307"/>
      <c r="L80" s="1340"/>
      <c r="M80" s="1349"/>
    </row>
    <row r="82" spans="1:13" ht="18">
      <c r="A82" s="157">
        <f>+A80+1</f>
        <v>55</v>
      </c>
      <c r="B82" s="158"/>
      <c r="C82" s="260" t="s">
        <v>1337</v>
      </c>
      <c r="D82" s="260"/>
      <c r="E82" s="1372">
        <f>+E48-E51-E62-E72</f>
        <v>0</v>
      </c>
      <c r="F82" s="1373"/>
      <c r="G82" s="1374">
        <f>M82*TCOS!J95</f>
        <v>563852.82641583646</v>
      </c>
      <c r="H82" s="1373"/>
      <c r="I82" s="1372">
        <f>+I48-I51-I62-I72</f>
        <v>0</v>
      </c>
      <c r="J82" s="1373"/>
      <c r="K82" s="1372">
        <f>+K48-K51-K62-K72</f>
        <v>0</v>
      </c>
      <c r="L82" s="260"/>
      <c r="M82" s="1375">
        <f>G23</f>
        <v>2193116</v>
      </c>
    </row>
  </sheetData>
  <mergeCells count="7">
    <mergeCell ref="A8:M8"/>
    <mergeCell ref="A7:M7"/>
    <mergeCell ref="C46:M46"/>
    <mergeCell ref="A3:M3"/>
    <mergeCell ref="A4:M4"/>
    <mergeCell ref="A5:M5"/>
    <mergeCell ref="A6:M6"/>
  </mergeCells>
  <phoneticPr fontId="69"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42"/>
  <sheetViews>
    <sheetView view="pageBreakPreview" topLeftCell="A19" zoomScale="70" zoomScaleNormal="70" zoomScaleSheetLayoutView="70" workbookViewId="0">
      <selection activeCell="H48" sqref="H48"/>
    </sheetView>
  </sheetViews>
  <sheetFormatPr defaultRowHeight="12.75"/>
  <cols>
    <col min="1" max="1" width="7.42578125" style="126" customWidth="1"/>
    <col min="2" max="2" width="1.5703125" style="127" customWidth="1"/>
    <col min="3" max="3" width="68.5703125" style="127" customWidth="1"/>
    <col min="4" max="4" width="19.140625" style="127" customWidth="1"/>
    <col min="5" max="5" width="20.42578125" style="121" customWidth="1"/>
    <col min="6" max="6" width="20.42578125" style="112" bestFit="1" customWidth="1"/>
    <col min="7" max="7" width="40.42578125" style="112" bestFit="1" customWidth="1"/>
    <col min="8" max="8" width="13" style="112" bestFit="1" customWidth="1"/>
    <col min="9" max="9" width="34" style="112" customWidth="1"/>
    <col min="10" max="16384" width="9.140625" style="112"/>
  </cols>
  <sheetData>
    <row r="1" spans="1:20" ht="15.75">
      <c r="A1" s="899" t="s">
        <v>115</v>
      </c>
    </row>
    <row r="2" spans="1:20" ht="15.75">
      <c r="A2" s="899" t="s">
        <v>115</v>
      </c>
    </row>
    <row r="3" spans="1:20" ht="18.75" customHeight="1">
      <c r="A3" s="1399" t="s">
        <v>388</v>
      </c>
      <c r="B3" s="1399"/>
      <c r="C3" s="1399"/>
      <c r="D3" s="1399"/>
      <c r="E3" s="1399"/>
      <c r="F3" s="1399"/>
    </row>
    <row r="4" spans="1:20" ht="18.75" customHeight="1">
      <c r="A4" s="1400" t="str">
        <f>"Cost of Service Formula Rate Using Actual/Projected FF1 Balances"</f>
        <v>Cost of Service Formula Rate Using Actual/Projected FF1 Balances</v>
      </c>
      <c r="B4" s="1400"/>
      <c r="C4" s="1400"/>
      <c r="D4" s="1400"/>
      <c r="E4" s="1400"/>
      <c r="F4" s="1400"/>
    </row>
    <row r="5" spans="1:20" ht="18.75" customHeight="1">
      <c r="A5" s="1400" t="s">
        <v>218</v>
      </c>
      <c r="B5" s="1400"/>
      <c r="C5" s="1400"/>
      <c r="D5" s="1400"/>
      <c r="E5" s="1400"/>
      <c r="F5" s="1400"/>
    </row>
    <row r="6" spans="1:20" ht="18" customHeight="1">
      <c r="A6" s="1407" t="str">
        <f>TCOS!F9</f>
        <v>Appalachian Power Company</v>
      </c>
      <c r="B6" s="1400"/>
      <c r="C6" s="1400"/>
      <c r="D6" s="1400"/>
      <c r="E6" s="1400"/>
      <c r="F6" s="1400"/>
    </row>
    <row r="7" spans="1:20" ht="18" customHeight="1">
      <c r="A7" s="1411"/>
      <c r="B7" s="1411"/>
      <c r="C7" s="1411"/>
      <c r="D7" s="1411"/>
      <c r="E7" s="1411"/>
      <c r="F7" s="1411"/>
    </row>
    <row r="8" spans="1:20" ht="19.5" customHeight="1">
      <c r="A8" s="114"/>
      <c r="B8" s="115"/>
      <c r="C8" s="35" t="s">
        <v>163</v>
      </c>
      <c r="E8" s="35" t="s">
        <v>164</v>
      </c>
      <c r="F8" s="251" t="s">
        <v>165</v>
      </c>
      <c r="G8" s="251" t="s">
        <v>166</v>
      </c>
    </row>
    <row r="9" spans="1:20" ht="18">
      <c r="A9" s="203"/>
      <c r="B9" s="204"/>
      <c r="C9" s="204"/>
      <c r="D9" s="204"/>
      <c r="E9"/>
      <c r="F9" s="16"/>
      <c r="G9" s="252"/>
      <c r="H9" s="38"/>
      <c r="I9" s="38"/>
      <c r="J9" s="38"/>
      <c r="K9" s="38"/>
      <c r="L9" s="38"/>
      <c r="M9" s="38"/>
      <c r="N9" s="38"/>
      <c r="O9" s="38"/>
      <c r="P9" s="38"/>
      <c r="Q9" s="38"/>
      <c r="R9" s="38"/>
      <c r="S9" s="38"/>
      <c r="T9" s="38"/>
    </row>
    <row r="10" spans="1:20" ht="18">
      <c r="A10" s="203" t="s">
        <v>170</v>
      </c>
      <c r="B10" s="204"/>
      <c r="C10" s="204"/>
      <c r="D10" s="204"/>
      <c r="E10" s="205" t="s">
        <v>119</v>
      </c>
      <c r="F10" s="253" t="s">
        <v>76</v>
      </c>
      <c r="G10" s="254"/>
    </row>
    <row r="11" spans="1:20" ht="18">
      <c r="A11" s="207" t="s">
        <v>118</v>
      </c>
      <c r="B11" s="255"/>
      <c r="C11" s="207" t="s">
        <v>30</v>
      </c>
      <c r="D11" s="1097"/>
      <c r="E11" s="208" t="s">
        <v>184</v>
      </c>
      <c r="F11" s="207" t="s">
        <v>77</v>
      </c>
      <c r="G11" s="208" t="s">
        <v>78</v>
      </c>
      <c r="H11" s="1097"/>
      <c r="I11" s="1097"/>
    </row>
    <row r="12" spans="1:20" ht="18">
      <c r="A12" s="116"/>
      <c r="B12" s="115"/>
      <c r="C12" s="111"/>
      <c r="D12" s="111"/>
      <c r="E12" s="111"/>
      <c r="F12" s="253"/>
      <c r="G12" s="256"/>
      <c r="H12" s="257"/>
      <c r="I12" s="1098"/>
    </row>
    <row r="13" spans="1:20" ht="18">
      <c r="A13" s="114"/>
      <c r="B13" s="115"/>
      <c r="C13" s="115"/>
      <c r="D13" s="115"/>
      <c r="E13" s="117"/>
      <c r="F13" s="111"/>
    </row>
    <row r="14" spans="1:20" ht="19.5">
      <c r="A14" s="114">
        <v>1</v>
      </c>
      <c r="B14" s="115"/>
      <c r="C14" s="118" t="s">
        <v>324</v>
      </c>
      <c r="D14" s="115"/>
      <c r="E14" s="125"/>
      <c r="F14" s="113"/>
    </row>
    <row r="15" spans="1:20" ht="19.5">
      <c r="A15" s="114">
        <f>+A14+1</f>
        <v>2</v>
      </c>
      <c r="B15" s="115"/>
      <c r="C15" s="110" t="s">
        <v>308</v>
      </c>
      <c r="D15"/>
      <c r="E15" s="265">
        <f>SUM(F16:F19)</f>
        <v>13797134</v>
      </c>
      <c r="F15" s="125"/>
      <c r="G15" s="257"/>
      <c r="H15" s="257"/>
    </row>
    <row r="16" spans="1:20" ht="19.5">
      <c r="A16" s="114"/>
      <c r="B16" s="115"/>
      <c r="C16" s="120"/>
      <c r="D16"/>
      <c r="E16" s="264"/>
      <c r="F16" s="870">
        <v>13757799</v>
      </c>
      <c r="G16" s="871" t="s">
        <v>1058</v>
      </c>
      <c r="H16" s="257"/>
    </row>
    <row r="17" spans="1:9" ht="19.5">
      <c r="A17" s="114"/>
      <c r="B17" s="115"/>
      <c r="C17" s="120"/>
      <c r="D17"/>
      <c r="E17" s="264"/>
      <c r="F17" s="870">
        <v>-39151</v>
      </c>
      <c r="G17" s="871" t="s">
        <v>1064</v>
      </c>
      <c r="H17" s="257"/>
    </row>
    <row r="18" spans="1:9" ht="19.5">
      <c r="A18" s="114"/>
      <c r="B18" s="115"/>
      <c r="C18" s="120"/>
      <c r="D18"/>
      <c r="E18" s="264"/>
      <c r="F18" s="870">
        <v>78486</v>
      </c>
      <c r="G18" s="871" t="s">
        <v>1065</v>
      </c>
      <c r="H18" s="257"/>
    </row>
    <row r="19" spans="1:9" ht="18" customHeight="1">
      <c r="A19" s="114"/>
      <c r="B19" s="115"/>
      <c r="C19" s="120"/>
      <c r="D19"/>
      <c r="E19" s="264"/>
      <c r="F19" s="870"/>
      <c r="G19" s="871"/>
      <c r="H19" s="257"/>
    </row>
    <row r="20" spans="1:9" ht="18" customHeight="1">
      <c r="A20" s="114"/>
      <c r="B20" s="115"/>
      <c r="C20" s="120"/>
      <c r="D20"/>
      <c r="E20" s="264"/>
      <c r="F20" s="870"/>
      <c r="G20" s="871"/>
      <c r="H20" s="257"/>
    </row>
    <row r="21" spans="1:9" ht="18" customHeight="1">
      <c r="A21" s="114"/>
      <c r="B21" s="115"/>
      <c r="C21" s="120"/>
      <c r="D21"/>
      <c r="E21" s="264"/>
      <c r="F21" s="901"/>
      <c r="G21" s="902"/>
      <c r="H21" s="257"/>
    </row>
    <row r="22" spans="1:9" ht="18" customHeight="1">
      <c r="A22" s="114"/>
      <c r="B22" s="115"/>
      <c r="C22" s="35" t="s">
        <v>163</v>
      </c>
      <c r="D22" s="35" t="s">
        <v>164</v>
      </c>
      <c r="E22" s="251" t="s">
        <v>165</v>
      </c>
      <c r="F22" s="251" t="s">
        <v>166</v>
      </c>
      <c r="G22" s="251" t="s">
        <v>84</v>
      </c>
      <c r="H22" s="1134" t="s">
        <v>85</v>
      </c>
      <c r="I22" s="251" t="s">
        <v>86</v>
      </c>
    </row>
    <row r="23" spans="1:9" ht="58.5" customHeight="1">
      <c r="A23" s="207"/>
      <c r="B23" s="255"/>
      <c r="C23" s="1135" t="s">
        <v>765</v>
      </c>
      <c r="D23" s="1136" t="s">
        <v>683</v>
      </c>
      <c r="E23" s="1137" t="s">
        <v>763</v>
      </c>
      <c r="F23" s="1138" t="s">
        <v>764</v>
      </c>
      <c r="G23" s="1139" t="s">
        <v>78</v>
      </c>
      <c r="H23" s="1137" t="s">
        <v>836</v>
      </c>
      <c r="I23" s="1138" t="s">
        <v>762</v>
      </c>
    </row>
    <row r="24" spans="1:9" ht="19.5">
      <c r="A24" s="114"/>
      <c r="B24" s="115"/>
      <c r="C24" s="310"/>
      <c r="D24" s="5"/>
      <c r="E24" s="264"/>
      <c r="F24" s="265"/>
      <c r="G24" s="1090"/>
      <c r="H24" s="257"/>
      <c r="I24" s="257"/>
    </row>
    <row r="25" spans="1:9" ht="39">
      <c r="A25" s="1088">
        <f>+A15+1</f>
        <v>3</v>
      </c>
      <c r="B25" s="1089"/>
      <c r="C25" s="1133" t="s">
        <v>761</v>
      </c>
      <c r="D25" s="1140"/>
      <c r="E25" s="1310">
        <f>E27+E35+E46+E52</f>
        <v>74324513</v>
      </c>
      <c r="F25" s="1141"/>
      <c r="G25" s="1099"/>
      <c r="H25" s="1142"/>
      <c r="I25" s="1310">
        <f>I27+I35+I46+I52</f>
        <v>26302395.242989961</v>
      </c>
    </row>
    <row r="26" spans="1:9" ht="19.5">
      <c r="A26" s="114"/>
      <c r="B26" s="115"/>
      <c r="C26" s="118"/>
      <c r="D26"/>
      <c r="E26" s="264"/>
      <c r="F26" s="259"/>
      <c r="G26" s="1090"/>
      <c r="H26" s="1091"/>
      <c r="I26" s="1092"/>
    </row>
    <row r="27" spans="1:9" ht="19.5">
      <c r="A27" s="114">
        <f>+A25+1</f>
        <v>4</v>
      </c>
      <c r="B27" s="115"/>
      <c r="C27" s="1093" t="s">
        <v>600</v>
      </c>
      <c r="D27"/>
      <c r="E27" s="265">
        <f>SUM(F28:F34)</f>
        <v>48798578</v>
      </c>
      <c r="F27" s="259"/>
      <c r="G27" s="258"/>
      <c r="H27" s="260"/>
      <c r="I27" s="1087">
        <f>SUM(I28:I34)</f>
        <v>15524804.616419224</v>
      </c>
    </row>
    <row r="28" spans="1:9" ht="19.5">
      <c r="A28" s="114"/>
      <c r="B28" s="115"/>
      <c r="C28" s="1093"/>
      <c r="D28" s="1328">
        <v>2016</v>
      </c>
      <c r="E28" s="265"/>
      <c r="F28" s="870">
        <v>24076492</v>
      </c>
      <c r="G28" s="871" t="s">
        <v>1053</v>
      </c>
      <c r="H28" s="1085">
        <v>0.36441841235323963</v>
      </c>
      <c r="I28" s="1147">
        <f>+F28*H28</f>
        <v>8773916.9896754753</v>
      </c>
    </row>
    <row r="29" spans="1:9" ht="19.5">
      <c r="A29" s="114"/>
      <c r="B29" s="115"/>
      <c r="C29" s="1093"/>
      <c r="D29" s="1328">
        <v>2017</v>
      </c>
      <c r="E29" s="265"/>
      <c r="F29" s="870">
        <v>24541416</v>
      </c>
      <c r="G29" s="871" t="s">
        <v>1054</v>
      </c>
      <c r="H29" s="1085">
        <v>0.27305786194042786</v>
      </c>
      <c r="I29" s="1147">
        <f>+F29*H29</f>
        <v>6701226.5819506077</v>
      </c>
    </row>
    <row r="30" spans="1:9" ht="19.5">
      <c r="A30" s="114"/>
      <c r="B30" s="115"/>
      <c r="C30" s="1093"/>
      <c r="D30" s="1328">
        <v>2016</v>
      </c>
      <c r="E30" s="265"/>
      <c r="F30" s="870">
        <v>5356</v>
      </c>
      <c r="G30" s="871" t="s">
        <v>1055</v>
      </c>
      <c r="H30" s="1085">
        <v>0.36441841235323963</v>
      </c>
      <c r="I30" s="1147">
        <f>+F30*H30</f>
        <v>1951.8250165639515</v>
      </c>
    </row>
    <row r="31" spans="1:9" ht="19.5">
      <c r="A31" s="114"/>
      <c r="B31" s="115"/>
      <c r="C31" s="1093"/>
      <c r="D31" s="1328">
        <v>2017</v>
      </c>
      <c r="E31" s="265"/>
      <c r="F31" s="870">
        <v>89189</v>
      </c>
      <c r="G31" s="871" t="s">
        <v>1056</v>
      </c>
      <c r="H31" s="1085">
        <v>0.27305786194042786</v>
      </c>
      <c r="I31" s="1147">
        <f>+F31*H31</f>
        <v>24353.75764860482</v>
      </c>
    </row>
    <row r="32" spans="1:9" ht="19.5">
      <c r="A32" s="114"/>
      <c r="B32" s="115"/>
      <c r="C32" s="1093"/>
      <c r="D32" s="1328">
        <v>2018</v>
      </c>
      <c r="E32" s="265"/>
      <c r="F32" s="870">
        <v>86125</v>
      </c>
      <c r="G32" s="871" t="s">
        <v>1057</v>
      </c>
      <c r="H32" s="1085">
        <f>'WS H Other Taxes'!G70</f>
        <v>0.27118098261799861</v>
      </c>
      <c r="I32" s="1147">
        <f>+F32*H32</f>
        <v>23355.46212797513</v>
      </c>
    </row>
    <row r="33" spans="1:9" ht="19.5">
      <c r="A33" s="114"/>
      <c r="B33" s="115"/>
      <c r="C33" s="1093"/>
      <c r="D33" s="870"/>
      <c r="E33" s="265"/>
      <c r="F33" s="870"/>
      <c r="G33" s="871"/>
      <c r="H33" s="1085"/>
      <c r="I33" s="1147">
        <f t="shared" ref="I33:I44" si="0">F33*H33</f>
        <v>0</v>
      </c>
    </row>
    <row r="34" spans="1:9" ht="19.5">
      <c r="A34" s="114"/>
      <c r="B34" s="115"/>
      <c r="C34" s="1093"/>
      <c r="D34" s="870"/>
      <c r="E34" s="265"/>
      <c r="F34" s="870"/>
      <c r="G34" s="871"/>
      <c r="H34" s="1085"/>
      <c r="I34" s="1147">
        <f t="shared" si="0"/>
        <v>0</v>
      </c>
    </row>
    <row r="35" spans="1:9" ht="19.5">
      <c r="A35" s="114">
        <f>+A27+1</f>
        <v>5</v>
      </c>
      <c r="B35" s="115"/>
      <c r="C35" s="1093" t="s">
        <v>601</v>
      </c>
      <c r="D35"/>
      <c r="E35" s="265">
        <f>SUM(F36:F42)</f>
        <v>22039083</v>
      </c>
      <c r="F35" s="159"/>
      <c r="G35" s="258"/>
      <c r="H35" s="257"/>
      <c r="I35" s="1147">
        <f>SUM(I36:I44)</f>
        <v>9731974.6089982092</v>
      </c>
    </row>
    <row r="36" spans="1:9" ht="19.5">
      <c r="A36" s="114"/>
      <c r="B36" s="115"/>
      <c r="C36" s="1093"/>
      <c r="D36" s="1328">
        <v>2017</v>
      </c>
      <c r="E36" s="265"/>
      <c r="F36" s="870">
        <v>-29517</v>
      </c>
      <c r="G36" s="871" t="s">
        <v>1069</v>
      </c>
      <c r="H36" s="1086">
        <v>0.42020011998668599</v>
      </c>
      <c r="I36" s="1147">
        <f>F36*H36</f>
        <v>-12403.04694164701</v>
      </c>
    </row>
    <row r="37" spans="1:9" ht="19.5">
      <c r="A37" s="114"/>
      <c r="B37" s="115"/>
      <c r="C37" s="1093"/>
      <c r="D37" s="1328">
        <v>2018</v>
      </c>
      <c r="E37" s="265"/>
      <c r="F37" s="870">
        <v>21597393</v>
      </c>
      <c r="G37" s="871" t="s">
        <v>1070</v>
      </c>
      <c r="H37" s="1086">
        <f>'WS H Other Taxes'!G59</f>
        <v>0.44155152904593636</v>
      </c>
      <c r="I37" s="1147">
        <f t="shared" si="0"/>
        <v>9536361.9025560021</v>
      </c>
    </row>
    <row r="38" spans="1:9" ht="19.5">
      <c r="A38" s="114"/>
      <c r="B38" s="115"/>
      <c r="C38" s="1093"/>
      <c r="D38" s="1328">
        <v>2017</v>
      </c>
      <c r="E38" s="265"/>
      <c r="F38" s="870">
        <v>2174</v>
      </c>
      <c r="G38" s="871" t="s">
        <v>1071</v>
      </c>
      <c r="H38" s="1085">
        <v>0.42020011998668599</v>
      </c>
      <c r="I38" s="1147">
        <f t="shared" si="0"/>
        <v>913.5150608510553</v>
      </c>
    </row>
    <row r="39" spans="1:9" ht="19.5">
      <c r="A39" s="114"/>
      <c r="B39" s="115"/>
      <c r="C39" s="1093"/>
      <c r="D39" s="1328">
        <v>2018</v>
      </c>
      <c r="E39" s="265"/>
      <c r="F39" s="870">
        <v>469033</v>
      </c>
      <c r="G39" s="871" t="s">
        <v>1072</v>
      </c>
      <c r="H39" s="1085">
        <f>'WS H Other Taxes'!G59</f>
        <v>0.44155152904593636</v>
      </c>
      <c r="I39" s="1147">
        <f t="shared" si="0"/>
        <v>207102.23832300268</v>
      </c>
    </row>
    <row r="40" spans="1:9" ht="19.5">
      <c r="A40" s="114"/>
      <c r="B40" s="115"/>
      <c r="C40" s="1093"/>
      <c r="D40" s="870"/>
      <c r="E40" s="265"/>
      <c r="F40" s="870"/>
      <c r="G40" s="871"/>
      <c r="H40" s="871"/>
      <c r="I40" s="1147">
        <f t="shared" si="0"/>
        <v>0</v>
      </c>
    </row>
    <row r="41" spans="1:9" ht="19.5">
      <c r="A41" s="114"/>
      <c r="B41" s="115"/>
      <c r="C41" s="1093"/>
      <c r="D41" s="870"/>
      <c r="E41" s="265"/>
      <c r="F41" s="870"/>
      <c r="G41" s="871"/>
      <c r="H41" s="871"/>
      <c r="I41" s="1147">
        <f t="shared" si="0"/>
        <v>0</v>
      </c>
    </row>
    <row r="42" spans="1:9" ht="19.5">
      <c r="A42" s="114"/>
      <c r="B42" s="115"/>
      <c r="C42" s="1093"/>
      <c r="D42" s="870"/>
      <c r="E42" s="265"/>
      <c r="F42" s="870"/>
      <c r="G42" s="871"/>
      <c r="H42" s="871"/>
      <c r="I42" s="1147">
        <f t="shared" si="0"/>
        <v>0</v>
      </c>
    </row>
    <row r="43" spans="1:9" ht="19.5">
      <c r="A43" s="114"/>
      <c r="B43" s="115"/>
      <c r="C43" s="1093"/>
      <c r="D43" s="870"/>
      <c r="E43" s="265"/>
      <c r="F43" s="870"/>
      <c r="G43" s="871"/>
      <c r="H43" s="871"/>
      <c r="I43" s="1147">
        <f t="shared" si="0"/>
        <v>0</v>
      </c>
    </row>
    <row r="44" spans="1:9" ht="19.5">
      <c r="A44" s="114"/>
      <c r="B44" s="115"/>
      <c r="C44" s="1093"/>
      <c r="D44" s="870"/>
      <c r="E44" s="265"/>
      <c r="F44" s="870"/>
      <c r="G44" s="871"/>
      <c r="H44" s="871"/>
      <c r="I44" s="1147">
        <f t="shared" si="0"/>
        <v>0</v>
      </c>
    </row>
    <row r="45" spans="1:9" ht="19.5">
      <c r="A45" s="114"/>
      <c r="B45" s="115"/>
      <c r="C45" s="1093"/>
      <c r="D45" s="113"/>
      <c r="E45" s="265"/>
      <c r="F45" s="6"/>
      <c r="G45" s="303"/>
      <c r="H45" s="257"/>
      <c r="I45" s="257"/>
    </row>
    <row r="46" spans="1:9" ht="19.5">
      <c r="A46" s="114">
        <f>+A35+1</f>
        <v>6</v>
      </c>
      <c r="B46" s="115"/>
      <c r="C46" s="1093" t="s">
        <v>597</v>
      </c>
      <c r="D46" s="221"/>
      <c r="E46" s="265">
        <f>SUM(F47:F50)</f>
        <v>1293736</v>
      </c>
      <c r="F46" s="125" t="s">
        <v>115</v>
      </c>
      <c r="G46" s="303" t="s">
        <v>115</v>
      </c>
      <c r="H46" s="257"/>
      <c r="I46" s="1147">
        <f>SUM(I47:I51)</f>
        <v>570322.76723363867</v>
      </c>
    </row>
    <row r="47" spans="1:9" ht="19.5">
      <c r="A47" s="114"/>
      <c r="B47" s="115"/>
      <c r="C47" s="1093"/>
      <c r="D47" s="1328">
        <v>2017</v>
      </c>
      <c r="E47" s="265"/>
      <c r="F47" s="870">
        <v>-67259</v>
      </c>
      <c r="G47" s="871" t="s">
        <v>1078</v>
      </c>
      <c r="H47" s="1086">
        <v>0.49057585610714127</v>
      </c>
      <c r="I47" s="1147">
        <f>F47*H47</f>
        <v>-32995.641505910215</v>
      </c>
    </row>
    <row r="48" spans="1:9" ht="19.5">
      <c r="A48" s="114"/>
      <c r="B48" s="115"/>
      <c r="C48" s="1093"/>
      <c r="D48" s="1328">
        <v>2018</v>
      </c>
      <c r="E48" s="265"/>
      <c r="F48" s="870">
        <v>1360995</v>
      </c>
      <c r="G48" s="871" t="s">
        <v>1079</v>
      </c>
      <c r="H48" s="1086">
        <f>'WS H Other Taxes'!G80</f>
        <v>0.4432921566497664</v>
      </c>
      <c r="I48" s="1147">
        <f>F48*H48</f>
        <v>603318.40873954888</v>
      </c>
    </row>
    <row r="49" spans="1:9" ht="19.5">
      <c r="A49" s="114"/>
      <c r="B49" s="115"/>
      <c r="C49" s="1093"/>
      <c r="D49" s="870"/>
      <c r="E49" s="265"/>
      <c r="F49" s="870"/>
      <c r="G49" s="871"/>
      <c r="H49" s="871"/>
      <c r="I49" s="1147">
        <f>F49*H49</f>
        <v>0</v>
      </c>
    </row>
    <row r="50" spans="1:9" ht="19.5">
      <c r="A50" s="114"/>
      <c r="B50" s="115"/>
      <c r="C50" s="1093"/>
      <c r="D50" s="870"/>
      <c r="E50" s="265"/>
      <c r="F50" s="870"/>
      <c r="G50" s="871"/>
      <c r="H50" s="871"/>
      <c r="I50" s="1147">
        <f>F50*H50</f>
        <v>0</v>
      </c>
    </row>
    <row r="51" spans="1:9" ht="19.5">
      <c r="A51" s="114"/>
      <c r="B51" s="115"/>
      <c r="C51" s="1093"/>
      <c r="D51" s="870"/>
      <c r="E51" s="265"/>
      <c r="F51" s="870"/>
      <c r="G51" s="871"/>
      <c r="H51" s="871"/>
      <c r="I51" s="1147">
        <f>F51*H51</f>
        <v>0</v>
      </c>
    </row>
    <row r="52" spans="1:9" ht="19.5">
      <c r="A52" s="114"/>
      <c r="B52" s="115"/>
      <c r="C52" s="1093"/>
      <c r="D52" s="221"/>
      <c r="E52" s="265">
        <f>SUM(F53:F55)</f>
        <v>2193116</v>
      </c>
      <c r="F52" s="302"/>
      <c r="G52" s="303"/>
      <c r="H52" s="257"/>
      <c r="I52" s="1147">
        <f>SUM(I53:I55)</f>
        <v>475293.25033888425</v>
      </c>
    </row>
    <row r="53" spans="1:9" ht="19.5">
      <c r="A53" s="114">
        <f>A46+1</f>
        <v>7</v>
      </c>
      <c r="B53" s="115"/>
      <c r="C53" s="1093" t="s">
        <v>464</v>
      </c>
      <c r="D53" s="1328">
        <v>2016</v>
      </c>
      <c r="E53" s="265"/>
      <c r="F53" s="870">
        <v>153159</v>
      </c>
      <c r="G53" s="871" t="s">
        <v>1080</v>
      </c>
      <c r="H53" s="1086">
        <v>0.20441403187647539</v>
      </c>
      <c r="I53" s="1147">
        <f>F53*H53</f>
        <v>31307.848708169095</v>
      </c>
    </row>
    <row r="54" spans="1:9" ht="19.5">
      <c r="A54" s="114"/>
      <c r="B54" s="115"/>
      <c r="C54" s="113"/>
      <c r="D54" s="1328">
        <v>2017</v>
      </c>
      <c r="E54" s="265"/>
      <c r="F54" s="870">
        <v>2039957</v>
      </c>
      <c r="G54" s="871" t="s">
        <v>1081</v>
      </c>
      <c r="H54" s="1085">
        <v>0.21764449036460826</v>
      </c>
      <c r="I54" s="1147">
        <f>F54*H54</f>
        <v>443985.40163071518</v>
      </c>
    </row>
    <row r="55" spans="1:9" ht="19.5">
      <c r="A55" s="114"/>
      <c r="B55" s="115"/>
      <c r="C55" s="113"/>
      <c r="D55" s="870"/>
      <c r="E55" s="265"/>
      <c r="F55" s="870"/>
      <c r="G55" s="871"/>
      <c r="H55" s="871"/>
      <c r="I55" s="1147">
        <f>F55*H55</f>
        <v>0</v>
      </c>
    </row>
    <row r="56" spans="1:9" ht="19.5">
      <c r="A56" s="1100"/>
      <c r="B56" s="1101"/>
      <c r="C56" s="1102"/>
      <c r="D56" s="1103"/>
      <c r="E56" s="1104"/>
      <c r="F56" s="1103"/>
      <c r="G56" s="1105"/>
      <c r="H56" s="1105"/>
      <c r="I56" s="1106"/>
    </row>
    <row r="57" spans="1:9" ht="19.5">
      <c r="A57" s="114"/>
      <c r="B57" s="115"/>
      <c r="C57" s="113"/>
      <c r="D57" s="221"/>
      <c r="E57" s="265"/>
      <c r="F57" s="302"/>
      <c r="G57" s="303"/>
      <c r="H57" s="257"/>
    </row>
    <row r="58" spans="1:9" ht="18">
      <c r="A58" s="114"/>
      <c r="B58" s="115"/>
      <c r="C58" s="35" t="s">
        <v>163</v>
      </c>
      <c r="E58" s="35" t="s">
        <v>164</v>
      </c>
      <c r="F58" s="251" t="s">
        <v>165</v>
      </c>
      <c r="G58" s="251" t="s">
        <v>166</v>
      </c>
      <c r="H58" s="257"/>
    </row>
    <row r="59" spans="1:9" ht="18">
      <c r="A59" s="203"/>
      <c r="B59" s="204"/>
      <c r="C59" s="204"/>
      <c r="D59" s="204"/>
      <c r="E59"/>
      <c r="F59" s="16"/>
      <c r="G59" s="252"/>
      <c r="H59" s="257"/>
    </row>
    <row r="60" spans="1:9" ht="18">
      <c r="A60" s="203" t="s">
        <v>170</v>
      </c>
      <c r="B60" s="204"/>
      <c r="C60" s="204"/>
      <c r="D60" s="204"/>
      <c r="E60" s="205" t="s">
        <v>119</v>
      </c>
      <c r="F60" s="253" t="s">
        <v>76</v>
      </c>
      <c r="G60" s="254"/>
      <c r="H60" s="257"/>
    </row>
    <row r="61" spans="1:9" ht="18">
      <c r="A61" s="207" t="s">
        <v>118</v>
      </c>
      <c r="B61" s="255"/>
      <c r="C61" s="207" t="s">
        <v>30</v>
      </c>
      <c r="D61" s="1097"/>
      <c r="E61" s="208" t="s">
        <v>184</v>
      </c>
      <c r="F61" s="207" t="s">
        <v>77</v>
      </c>
      <c r="G61" s="208" t="s">
        <v>78</v>
      </c>
      <c r="H61" s="257"/>
    </row>
    <row r="62" spans="1:9" ht="19.5">
      <c r="A62" s="114">
        <f>+A53+1</f>
        <v>8</v>
      </c>
      <c r="B62" s="115"/>
      <c r="C62" s="118" t="s">
        <v>326</v>
      </c>
      <c r="D62" s="115"/>
      <c r="E62" s="264"/>
      <c r="F62" s="260" t="s">
        <v>115</v>
      </c>
      <c r="G62" s="258"/>
      <c r="H62" s="257"/>
    </row>
    <row r="63" spans="1:9" ht="19.5">
      <c r="A63" s="114">
        <f>+A62+1</f>
        <v>9</v>
      </c>
      <c r="B63" s="115"/>
      <c r="C63" s="113" t="s">
        <v>322</v>
      </c>
      <c r="D63" s="115"/>
      <c r="E63" s="265">
        <f>SUM(F64)</f>
        <v>8810745</v>
      </c>
      <c r="F63" s="261"/>
      <c r="G63" s="258"/>
      <c r="H63" s="257"/>
    </row>
    <row r="64" spans="1:9" ht="19.5">
      <c r="A64" s="114"/>
      <c r="B64" s="115"/>
      <c r="C64" s="113"/>
      <c r="D64" s="115"/>
      <c r="E64" s="265"/>
      <c r="F64" s="870">
        <v>8810745</v>
      </c>
      <c r="G64" s="871" t="s">
        <v>1047</v>
      </c>
      <c r="H64" s="257"/>
    </row>
    <row r="65" spans="1:9" ht="19.5">
      <c r="A65" s="114">
        <f>+A63+1</f>
        <v>10</v>
      </c>
      <c r="B65" s="115"/>
      <c r="C65" s="113" t="s">
        <v>315</v>
      </c>
      <c r="D65" s="115"/>
      <c r="E65" s="265">
        <f>SUM(F66)</f>
        <v>56329</v>
      </c>
      <c r="F65" s="125"/>
      <c r="G65" s="311"/>
      <c r="H65" s="257"/>
    </row>
    <row r="66" spans="1:9" ht="19.5">
      <c r="A66" s="114"/>
      <c r="B66" s="115"/>
      <c r="C66" s="113"/>
      <c r="D66" s="115"/>
      <c r="E66" s="265"/>
      <c r="F66" s="870">
        <v>56329</v>
      </c>
      <c r="G66" s="871" t="s">
        <v>1048</v>
      </c>
      <c r="H66" s="257"/>
    </row>
    <row r="67" spans="1:9" ht="19.5">
      <c r="A67" s="114">
        <f>+A65+1</f>
        <v>11</v>
      </c>
      <c r="B67" s="115"/>
      <c r="C67" s="113" t="s">
        <v>316</v>
      </c>
      <c r="D67" s="115"/>
      <c r="E67" s="265">
        <f>SUM(F68:F72)</f>
        <v>175292</v>
      </c>
      <c r="F67" s="125"/>
      <c r="G67" s="258"/>
      <c r="H67" s="257"/>
    </row>
    <row r="68" spans="1:9" ht="19.5">
      <c r="A68" s="114"/>
      <c r="B68" s="115"/>
      <c r="C68" s="113"/>
      <c r="D68" s="115"/>
      <c r="E68" s="265"/>
      <c r="F68" s="870">
        <v>143261</v>
      </c>
      <c r="G68" s="871" t="s">
        <v>1061</v>
      </c>
      <c r="H68" s="257"/>
    </row>
    <row r="69" spans="1:9" ht="19.5">
      <c r="A69" s="114"/>
      <c r="B69" s="115"/>
      <c r="C69" s="113"/>
      <c r="D69" s="115"/>
      <c r="E69" s="265"/>
      <c r="F69" s="870">
        <v>2954</v>
      </c>
      <c r="G69" s="871" t="s">
        <v>1066</v>
      </c>
      <c r="H69" s="257"/>
    </row>
    <row r="70" spans="1:9" ht="19.5">
      <c r="A70" s="114"/>
      <c r="B70" s="115"/>
      <c r="C70" s="113"/>
      <c r="D70" s="115"/>
      <c r="E70" s="265"/>
      <c r="F70" s="870">
        <v>28898</v>
      </c>
      <c r="G70" s="871" t="s">
        <v>1073</v>
      </c>
      <c r="H70" s="257"/>
    </row>
    <row r="71" spans="1:9" ht="19.5">
      <c r="A71" s="112"/>
      <c r="B71" s="112"/>
      <c r="C71" s="112"/>
      <c r="D71" s="115"/>
      <c r="E71" s="264"/>
      <c r="F71" s="870">
        <v>1</v>
      </c>
      <c r="G71" s="871" t="s">
        <v>1083</v>
      </c>
      <c r="H71" s="257"/>
    </row>
    <row r="72" spans="1:9" ht="19.5">
      <c r="A72" s="112"/>
      <c r="B72" s="112"/>
      <c r="C72" s="112"/>
      <c r="D72" s="115"/>
      <c r="E72" s="264"/>
      <c r="F72" s="870">
        <v>178</v>
      </c>
      <c r="G72" s="871" t="s">
        <v>1088</v>
      </c>
      <c r="H72" s="257"/>
    </row>
    <row r="73" spans="1:9" ht="19.5">
      <c r="A73" s="114">
        <f>A67+1</f>
        <v>12</v>
      </c>
      <c r="B73" s="115"/>
      <c r="C73" s="118" t="s">
        <v>441</v>
      </c>
      <c r="D73" s="115"/>
      <c r="E73" s="265">
        <f>SUM(F74:F74)</f>
        <v>0</v>
      </c>
      <c r="F73" s="302"/>
      <c r="G73" s="303"/>
      <c r="H73" s="257"/>
    </row>
    <row r="74" spans="1:9" ht="19.5">
      <c r="A74" s="114">
        <f>+A73+1</f>
        <v>13</v>
      </c>
      <c r="B74" s="115"/>
      <c r="C74" s="125" t="s">
        <v>442</v>
      </c>
      <c r="D74" s="221"/>
      <c r="E74" s="265"/>
      <c r="F74" s="870"/>
      <c r="G74" s="871"/>
      <c r="H74" s="257"/>
    </row>
    <row r="75" spans="1:9" ht="19.5">
      <c r="A75" s="114"/>
      <c r="B75" s="115"/>
      <c r="C75" s="110"/>
      <c r="D75" s="115"/>
      <c r="E75" s="269"/>
      <c r="F75" s="302"/>
      <c r="G75" s="110"/>
      <c r="H75" s="257"/>
    </row>
    <row r="76" spans="1:9" ht="19.5">
      <c r="A76" s="122">
        <f>+A74+1</f>
        <v>14</v>
      </c>
      <c r="B76" s="115"/>
      <c r="C76" s="118" t="s">
        <v>323</v>
      </c>
      <c r="D76" s="124"/>
      <c r="E76" s="264"/>
      <c r="F76" s="125"/>
      <c r="G76" s="110"/>
      <c r="H76" s="257"/>
    </row>
    <row r="77" spans="1:9" ht="19.5">
      <c r="A77" s="122">
        <f>A76+1</f>
        <v>15</v>
      </c>
      <c r="B77" s="123"/>
      <c r="C77" s="110" t="s">
        <v>440</v>
      </c>
      <c r="D77" s="124"/>
      <c r="E77" s="265">
        <f>SUM(F78:F79)</f>
        <v>21043738</v>
      </c>
      <c r="F77" s="125"/>
      <c r="G77" s="110"/>
      <c r="H77" s="257"/>
      <c r="I77" s="112">
        <v>0</v>
      </c>
    </row>
    <row r="78" spans="1:9" ht="19.5">
      <c r="A78" s="122"/>
      <c r="B78" s="123"/>
      <c r="C78" s="110"/>
      <c r="D78" s="112"/>
      <c r="E78" s="269"/>
      <c r="F78" s="870">
        <v>-150000</v>
      </c>
      <c r="G78" s="871" t="s">
        <v>1049</v>
      </c>
      <c r="H78" s="257"/>
    </row>
    <row r="79" spans="1:9" ht="19.5">
      <c r="A79" s="122"/>
      <c r="B79" s="123"/>
      <c r="C79" s="110"/>
      <c r="D79" s="112"/>
      <c r="E79" s="269"/>
      <c r="F79" s="870">
        <v>21193738</v>
      </c>
      <c r="G79" s="871" t="s">
        <v>1050</v>
      </c>
      <c r="H79" s="257"/>
    </row>
    <row r="80" spans="1:9" ht="19.5">
      <c r="A80" s="122"/>
      <c r="B80" s="123"/>
      <c r="C80" s="110"/>
      <c r="D80" s="112"/>
      <c r="E80" s="269"/>
      <c r="F80" s="870"/>
      <c r="G80" s="871"/>
      <c r="H80" s="257"/>
    </row>
    <row r="81" spans="1:8" ht="19.5">
      <c r="A81" s="114">
        <f>A77+1</f>
        <v>16</v>
      </c>
      <c r="B81" s="123"/>
      <c r="C81" s="110" t="s">
        <v>317</v>
      </c>
      <c r="D81" s="115"/>
      <c r="E81" s="265">
        <f>SUM(F82:F83)</f>
        <v>5278877</v>
      </c>
      <c r="F81" s="125"/>
      <c r="G81" s="110"/>
      <c r="H81" s="257"/>
    </row>
    <row r="82" spans="1:8" ht="19.5">
      <c r="A82" s="114"/>
      <c r="B82" s="123"/>
      <c r="C82" s="110"/>
      <c r="D82" s="115"/>
      <c r="E82" s="159"/>
      <c r="F82" s="870">
        <v>1990995</v>
      </c>
      <c r="G82" s="871" t="s">
        <v>1051</v>
      </c>
      <c r="H82" s="257"/>
    </row>
    <row r="83" spans="1:8" ht="19.5">
      <c r="A83" s="114"/>
      <c r="B83" s="123"/>
      <c r="C83" s="110"/>
      <c r="D83" s="115"/>
      <c r="E83" s="159"/>
      <c r="F83" s="870">
        <v>3287882</v>
      </c>
      <c r="G83" s="871" t="s">
        <v>1052</v>
      </c>
      <c r="H83" s="257"/>
    </row>
    <row r="84" spans="1:8" ht="19.5">
      <c r="A84" s="114"/>
      <c r="B84" s="123"/>
      <c r="C84" s="110"/>
      <c r="D84" s="115"/>
      <c r="E84" s="159"/>
      <c r="F84" s="870"/>
      <c r="G84" s="871"/>
      <c r="H84" s="257"/>
    </row>
    <row r="85" spans="1:8" ht="19.5">
      <c r="A85" s="114">
        <f>+A81+1</f>
        <v>17</v>
      </c>
      <c r="B85" s="115"/>
      <c r="C85" s="110" t="s">
        <v>318</v>
      </c>
      <c r="D85"/>
      <c r="E85" s="265">
        <f>SUM(F86:F93)</f>
        <v>11163715</v>
      </c>
      <c r="H85" s="257"/>
    </row>
    <row r="86" spans="1:8" ht="19.5">
      <c r="A86" s="114"/>
      <c r="B86" s="115"/>
      <c r="C86" s="110"/>
      <c r="D86"/>
      <c r="E86" s="159"/>
      <c r="F86" s="870">
        <v>370825</v>
      </c>
      <c r="G86" s="871" t="s">
        <v>1067</v>
      </c>
      <c r="H86" s="257"/>
    </row>
    <row r="87" spans="1:8" ht="19.5">
      <c r="A87" s="114"/>
      <c r="B87" s="115"/>
      <c r="C87" s="110"/>
      <c r="D87"/>
      <c r="E87" s="159"/>
      <c r="F87" s="870">
        <v>10380000</v>
      </c>
      <c r="G87" s="871" t="s">
        <v>1068</v>
      </c>
      <c r="H87" s="257"/>
    </row>
    <row r="88" spans="1:8" ht="19.5">
      <c r="A88" s="114"/>
      <c r="B88" s="115"/>
      <c r="C88" s="110"/>
      <c r="D88"/>
      <c r="E88" s="159"/>
      <c r="F88" s="870">
        <v>204690</v>
      </c>
      <c r="G88" s="871" t="s">
        <v>1076</v>
      </c>
      <c r="H88" s="257"/>
    </row>
    <row r="89" spans="1:8" ht="19.5">
      <c r="A89" s="114"/>
      <c r="B89" s="115"/>
      <c r="C89" s="110"/>
      <c r="D89"/>
      <c r="E89" s="159"/>
      <c r="F89" s="870">
        <v>208000</v>
      </c>
      <c r="G89" s="871" t="s">
        <v>1077</v>
      </c>
      <c r="H89" s="257"/>
    </row>
    <row r="90" spans="1:8" ht="19.5">
      <c r="A90" s="114"/>
      <c r="B90" s="115"/>
      <c r="C90" s="110"/>
      <c r="D90"/>
      <c r="E90" s="159"/>
      <c r="F90" s="870">
        <v>-25</v>
      </c>
      <c r="G90" s="871" t="s">
        <v>1086</v>
      </c>
      <c r="H90" s="257"/>
    </row>
    <row r="91" spans="1:8" ht="19.5">
      <c r="A91" s="114"/>
      <c r="B91" s="115"/>
      <c r="C91" s="110"/>
      <c r="D91"/>
      <c r="E91" s="159"/>
      <c r="F91" s="870">
        <v>225</v>
      </c>
      <c r="G91" s="871" t="s">
        <v>1087</v>
      </c>
      <c r="H91" s="257"/>
    </row>
    <row r="92" spans="1:8" ht="19.5">
      <c r="A92" s="114"/>
      <c r="B92" s="115"/>
      <c r="C92" s="110"/>
      <c r="D92"/>
      <c r="E92" s="159"/>
      <c r="F92" s="870"/>
      <c r="G92" s="871"/>
      <c r="H92" s="257"/>
    </row>
    <row r="93" spans="1:8" ht="19.5">
      <c r="A93" s="114"/>
      <c r="B93" s="115"/>
      <c r="C93" s="110"/>
      <c r="D93"/>
      <c r="E93" s="159"/>
      <c r="F93" s="870"/>
      <c r="G93" s="871"/>
      <c r="H93" s="257"/>
    </row>
    <row r="94" spans="1:8" ht="19.5">
      <c r="A94" s="114"/>
      <c r="B94" s="115"/>
      <c r="C94" s="110"/>
      <c r="D94"/>
      <c r="E94" s="159"/>
      <c r="F94" s="125"/>
      <c r="G94" s="110"/>
      <c r="H94" s="257"/>
    </row>
    <row r="95" spans="1:8" ht="19.5">
      <c r="A95" s="114">
        <f>+A85+1</f>
        <v>18</v>
      </c>
      <c r="B95" s="115"/>
      <c r="C95" s="110" t="s">
        <v>319</v>
      </c>
      <c r="D95"/>
      <c r="E95" s="265">
        <f>SUM(F96:F101)</f>
        <v>2020</v>
      </c>
      <c r="F95" s="125"/>
      <c r="G95" s="110"/>
      <c r="H95" s="257"/>
    </row>
    <row r="96" spans="1:8" ht="19.5">
      <c r="A96" s="114"/>
      <c r="B96" s="115"/>
      <c r="C96" s="110"/>
      <c r="D96"/>
      <c r="E96" s="159"/>
      <c r="F96" s="870">
        <v>1700</v>
      </c>
      <c r="G96" s="871" t="s">
        <v>1074</v>
      </c>
      <c r="H96" s="257"/>
    </row>
    <row r="97" spans="1:8" ht="19.5">
      <c r="A97" s="114"/>
      <c r="B97" s="115"/>
      <c r="C97" s="110"/>
      <c r="D97"/>
      <c r="E97" s="159"/>
      <c r="F97" s="870">
        <v>300</v>
      </c>
      <c r="G97" s="871" t="s">
        <v>1075</v>
      </c>
      <c r="H97" s="257"/>
    </row>
    <row r="98" spans="1:8" ht="19.5">
      <c r="A98" s="114"/>
      <c r="B98" s="115"/>
      <c r="C98" s="110"/>
      <c r="D98"/>
      <c r="E98" s="159"/>
      <c r="F98" s="870">
        <v>20</v>
      </c>
      <c r="G98" s="871" t="s">
        <v>1082</v>
      </c>
      <c r="H98" s="257"/>
    </row>
    <row r="99" spans="1:8" ht="19.5">
      <c r="A99" s="114"/>
      <c r="B99" s="115"/>
      <c r="C99" s="110"/>
      <c r="D99"/>
      <c r="E99" s="159"/>
      <c r="F99" s="870"/>
      <c r="G99" s="871"/>
      <c r="H99" s="257"/>
    </row>
    <row r="100" spans="1:8" ht="19.5">
      <c r="A100" s="114"/>
      <c r="B100" s="115"/>
      <c r="C100" s="110"/>
      <c r="D100"/>
      <c r="E100" s="159"/>
      <c r="F100" s="870"/>
      <c r="G100" s="871"/>
      <c r="H100" s="257"/>
    </row>
    <row r="101" spans="1:8" ht="19.5">
      <c r="A101" s="114"/>
      <c r="B101" s="115"/>
      <c r="C101" s="110"/>
      <c r="D101"/>
      <c r="E101" s="159"/>
      <c r="F101" s="870"/>
      <c r="G101" s="871"/>
      <c r="H101" s="257"/>
    </row>
    <row r="102" spans="1:8" ht="19.5">
      <c r="A102" s="114">
        <f>+A95+1</f>
        <v>19</v>
      </c>
      <c r="B102" s="115"/>
      <c r="C102" s="110" t="s">
        <v>320</v>
      </c>
      <c r="D102" s="115"/>
      <c r="E102" s="265">
        <f>SUM(F103:F104)</f>
        <v>1310</v>
      </c>
      <c r="F102" s="125"/>
      <c r="G102" s="303"/>
      <c r="H102" s="257"/>
    </row>
    <row r="103" spans="1:8" ht="19.5">
      <c r="A103" s="114"/>
      <c r="B103" s="115"/>
      <c r="C103" s="110"/>
      <c r="D103" s="115"/>
      <c r="E103" s="265"/>
      <c r="F103" s="870">
        <v>200</v>
      </c>
      <c r="G103" s="871" t="s">
        <v>1059</v>
      </c>
      <c r="H103" s="257"/>
    </row>
    <row r="104" spans="1:8" ht="19.5">
      <c r="A104" s="114"/>
      <c r="B104" s="115"/>
      <c r="C104" s="110"/>
      <c r="D104" s="115"/>
      <c r="E104" s="269"/>
      <c r="F104" s="870">
        <v>1110</v>
      </c>
      <c r="G104" s="871" t="s">
        <v>1060</v>
      </c>
      <c r="H104" s="257"/>
    </row>
    <row r="105" spans="1:8" ht="19.5">
      <c r="A105" s="114">
        <f>+A102+1</f>
        <v>20</v>
      </c>
      <c r="B105" s="115"/>
      <c r="C105" s="110" t="s">
        <v>321</v>
      </c>
      <c r="D105" s="112"/>
      <c r="E105" s="265">
        <f>SUM(F106:F110)</f>
        <v>-26</v>
      </c>
      <c r="G105" s="110"/>
      <c r="H105" s="257"/>
    </row>
    <row r="106" spans="1:8" ht="19.5">
      <c r="A106" s="114"/>
      <c r="B106" s="115"/>
      <c r="C106" s="110"/>
      <c r="D106" s="115"/>
      <c r="E106" s="159"/>
      <c r="F106" s="870">
        <v>-149</v>
      </c>
      <c r="G106" s="871" t="s">
        <v>1062</v>
      </c>
      <c r="H106" s="257"/>
    </row>
    <row r="107" spans="1:8" ht="19.5">
      <c r="A107" s="114"/>
      <c r="B107" s="115"/>
      <c r="C107" s="110"/>
      <c r="D107" s="115"/>
      <c r="E107" s="159"/>
      <c r="F107" s="870">
        <v>22</v>
      </c>
      <c r="G107" s="871" t="s">
        <v>1063</v>
      </c>
      <c r="H107" s="257"/>
    </row>
    <row r="108" spans="1:8" ht="19.5">
      <c r="A108" s="114"/>
      <c r="B108" s="115"/>
      <c r="C108" s="110"/>
      <c r="D108" s="115"/>
      <c r="E108" s="159"/>
      <c r="F108" s="870">
        <v>100</v>
      </c>
      <c r="G108" s="871" t="s">
        <v>1084</v>
      </c>
      <c r="H108" s="257"/>
    </row>
    <row r="109" spans="1:8" ht="19.5">
      <c r="A109" s="114"/>
      <c r="B109" s="115"/>
      <c r="C109" s="110"/>
      <c r="D109" s="115"/>
      <c r="E109" s="159"/>
      <c r="F109" s="870">
        <v>1</v>
      </c>
      <c r="G109" s="871" t="s">
        <v>1085</v>
      </c>
      <c r="H109" s="257"/>
    </row>
    <row r="110" spans="1:8" ht="19.5">
      <c r="A110" s="114"/>
      <c r="B110" s="115"/>
      <c r="C110" s="110"/>
      <c r="D110" s="115"/>
      <c r="E110" s="159"/>
      <c r="F110" s="125"/>
      <c r="G110" s="110"/>
      <c r="H110" s="257"/>
    </row>
    <row r="111" spans="1:8" ht="19.5">
      <c r="A111" s="114">
        <f>+A105+1</f>
        <v>21</v>
      </c>
      <c r="B111" s="115"/>
      <c r="C111" s="110" t="s">
        <v>309</v>
      </c>
      <c r="D111" s="110"/>
      <c r="E111" s="265">
        <f>SUM(F112:F113)</f>
        <v>15649</v>
      </c>
      <c r="F111" s="125"/>
      <c r="G111" s="110"/>
      <c r="H111" s="257"/>
    </row>
    <row r="112" spans="1:8" ht="19.5">
      <c r="A112" s="114"/>
      <c r="B112" s="115"/>
      <c r="C112" s="110"/>
      <c r="D112" s="110"/>
      <c r="E112" s="159"/>
      <c r="F112" s="870">
        <v>1318</v>
      </c>
      <c r="G112" s="871" t="s">
        <v>1089</v>
      </c>
      <c r="H112" s="257"/>
    </row>
    <row r="113" spans="1:8" ht="19.5">
      <c r="A113" s="114"/>
      <c r="B113" s="115"/>
      <c r="C113" s="110"/>
      <c r="D113" s="110"/>
      <c r="E113" s="159"/>
      <c r="F113" s="870">
        <v>14331</v>
      </c>
      <c r="G113" s="871" t="s">
        <v>1090</v>
      </c>
      <c r="H113" s="257"/>
    </row>
    <row r="114" spans="1:8" ht="19.5">
      <c r="A114" s="114">
        <f>+A111+1</f>
        <v>22</v>
      </c>
      <c r="B114" s="110"/>
      <c r="C114" s="132" t="s">
        <v>107</v>
      </c>
      <c r="D114" s="125"/>
      <c r="E114" s="265">
        <f>SUM(F115:F115)</f>
        <v>0</v>
      </c>
      <c r="F114" s="262"/>
      <c r="G114" s="110"/>
      <c r="H114" s="257"/>
    </row>
    <row r="115" spans="1:8" ht="19.5">
      <c r="A115" s="114"/>
      <c r="B115" s="110"/>
      <c r="C115" s="132"/>
      <c r="D115" s="125"/>
      <c r="E115" s="159"/>
      <c r="F115" s="870"/>
      <c r="G115" s="871"/>
    </row>
    <row r="116" spans="1:8" ht="19.5">
      <c r="A116" s="6"/>
      <c r="B116" s="110"/>
      <c r="C116" s="242"/>
      <c r="D116"/>
      <c r="E116"/>
      <c r="F116" s="241"/>
      <c r="G116" s="263"/>
    </row>
    <row r="117" spans="1:8" ht="20.25" thickBot="1">
      <c r="A117" s="235">
        <f>+A114+1</f>
        <v>23</v>
      </c>
      <c r="B117" s="242"/>
      <c r="C117" s="110" t="s">
        <v>312</v>
      </c>
      <c r="D117"/>
      <c r="E117" s="131">
        <f>E15+E25+E63+E65+E67+E77+E85+E95+E102+E105+E81+E111</f>
        <v>134669296</v>
      </c>
      <c r="F117" s="131">
        <f>SUM(F15:F115)</f>
        <v>134669296</v>
      </c>
      <c r="G117" s="110"/>
    </row>
    <row r="118" spans="1:8" ht="20.25" thickTop="1">
      <c r="A118" s="6"/>
      <c r="B118" s="242"/>
      <c r="C118" s="110" t="s">
        <v>382</v>
      </c>
      <c r="D118"/>
      <c r="E118"/>
      <c r="F118" s="262"/>
      <c r="G118" s="110"/>
    </row>
    <row r="119" spans="1:8" ht="21">
      <c r="A119" s="6"/>
      <c r="B119" s="242"/>
      <c r="C119" s="110"/>
      <c r="D119"/>
      <c r="E119" s="279"/>
      <c r="F119" s="160" t="s">
        <v>115</v>
      </c>
      <c r="G119" s="110"/>
    </row>
    <row r="120" spans="1:8" ht="20.25" customHeight="1">
      <c r="A120" s="1431" t="s">
        <v>774</v>
      </c>
      <c r="B120" s="1431"/>
      <c r="C120" s="1431"/>
      <c r="D120" s="1431"/>
      <c r="E120" s="1431"/>
      <c r="F120" s="1431"/>
      <c r="G120" s="1431"/>
    </row>
    <row r="121" spans="1:8" ht="20.25" customHeight="1">
      <c r="A121" s="1431"/>
      <c r="B121" s="1431"/>
      <c r="C121" s="1431"/>
      <c r="D121" s="1431"/>
      <c r="E121" s="1431"/>
      <c r="F121" s="1431"/>
      <c r="G121" s="1431"/>
    </row>
    <row r="122" spans="1:8" ht="20.25" customHeight="1">
      <c r="A122" s="1431"/>
      <c r="B122" s="1431"/>
      <c r="C122" s="1431"/>
      <c r="D122" s="1431"/>
      <c r="E122" s="1431"/>
      <c r="F122" s="1431"/>
      <c r="G122" s="1431"/>
    </row>
    <row r="123" spans="1:8" ht="20.25" customHeight="1">
      <c r="A123" s="1431"/>
      <c r="B123" s="1431"/>
      <c r="C123" s="1431"/>
      <c r="D123" s="1431"/>
      <c r="E123" s="1431"/>
      <c r="F123" s="1431"/>
      <c r="G123" s="1431"/>
    </row>
    <row r="124" spans="1:8" ht="20.25" customHeight="1">
      <c r="A124" s="1431"/>
      <c r="B124" s="1431"/>
      <c r="C124" s="1431"/>
      <c r="D124" s="1431"/>
      <c r="E124" s="1431"/>
      <c r="F124" s="1431"/>
      <c r="G124" s="1431"/>
    </row>
    <row r="125" spans="1:8" ht="20.25" customHeight="1">
      <c r="A125" s="1143"/>
      <c r="B125" s="1143"/>
      <c r="C125" s="1143"/>
      <c r="D125" s="1143"/>
      <c r="E125" s="1143"/>
      <c r="F125" s="1143"/>
      <c r="G125" s="1143"/>
    </row>
    <row r="126" spans="1:8" ht="30.75" customHeight="1">
      <c r="A126" s="1430" t="s">
        <v>880</v>
      </c>
      <c r="B126" s="1430"/>
      <c r="C126" s="1430"/>
      <c r="D126" s="1430"/>
      <c r="E126" s="1430"/>
      <c r="F126" s="1430"/>
      <c r="G126" s="1430"/>
    </row>
    <row r="127" spans="1:8" ht="30.75" customHeight="1">
      <c r="A127" s="1430"/>
      <c r="B127" s="1430"/>
      <c r="C127" s="1430"/>
      <c r="D127" s="1430"/>
      <c r="E127" s="1430"/>
      <c r="F127" s="1430"/>
      <c r="G127" s="1430"/>
    </row>
    <row r="128" spans="1:8" ht="19.5">
      <c r="B128" s="158"/>
      <c r="F128" s="125"/>
      <c r="G128" s="110"/>
    </row>
    <row r="129" spans="2:7" ht="19.5">
      <c r="B129" s="158"/>
      <c r="F129" s="262"/>
      <c r="G129" s="110"/>
    </row>
    <row r="130" spans="2:7" ht="19.5">
      <c r="B130" s="158"/>
      <c r="F130" s="262"/>
      <c r="G130" s="110"/>
    </row>
    <row r="131" spans="2:7" ht="19.5">
      <c r="B131" s="158"/>
      <c r="F131" s="262"/>
      <c r="G131" s="110"/>
    </row>
    <row r="132" spans="2:7" ht="19.5">
      <c r="B132" s="158"/>
      <c r="F132" s="125"/>
      <c r="G132" s="257"/>
    </row>
    <row r="133" spans="2:7" ht="19.5">
      <c r="B133" s="158"/>
      <c r="F133" s="125"/>
      <c r="G133" s="257"/>
    </row>
    <row r="134" spans="2:7" ht="19.5">
      <c r="B134" s="158"/>
      <c r="F134" s="125"/>
      <c r="G134" s="257"/>
    </row>
    <row r="135" spans="2:7" ht="19.5">
      <c r="B135" s="158"/>
      <c r="F135" s="264"/>
      <c r="G135" s="257"/>
    </row>
    <row r="136" spans="2:7" ht="19.5">
      <c r="B136" s="158"/>
      <c r="F136" s="133"/>
    </row>
    <row r="137" spans="2:7">
      <c r="B137" s="158"/>
      <c r="F137" s="254"/>
    </row>
    <row r="138" spans="2:7">
      <c r="B138" s="158"/>
      <c r="F138" s="254"/>
    </row>
    <row r="139" spans="2:7">
      <c r="B139" s="158"/>
    </row>
    <row r="140" spans="2:7">
      <c r="B140" s="158"/>
    </row>
    <row r="141" spans="2:7">
      <c r="B141" s="158"/>
    </row>
    <row r="142" spans="2:7">
      <c r="B142" s="158"/>
    </row>
  </sheetData>
  <mergeCells count="7">
    <mergeCell ref="A126:G127"/>
    <mergeCell ref="A120:G124"/>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78"/>
  <sheetViews>
    <sheetView view="pageBreakPreview" zoomScale="60" zoomScaleNormal="100" workbookViewId="0">
      <selection activeCell="A3" sqref="A3:J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899" t="s">
        <v>115</v>
      </c>
    </row>
    <row r="2" spans="1:29" ht="15.75">
      <c r="A2" s="899" t="s">
        <v>115</v>
      </c>
    </row>
    <row r="3" spans="1:29" ht="18">
      <c r="A3" s="1433" t="s">
        <v>388</v>
      </c>
      <c r="B3" s="1433"/>
      <c r="C3" s="1433"/>
      <c r="D3" s="1433"/>
      <c r="E3" s="1433"/>
      <c r="F3" s="1433"/>
      <c r="G3" s="1433"/>
      <c r="H3" s="1433"/>
      <c r="I3" s="1433"/>
      <c r="J3" s="1433"/>
      <c r="K3" s="152"/>
      <c r="L3" s="152"/>
      <c r="M3" s="152"/>
    </row>
    <row r="4" spans="1:29" ht="18">
      <c r="A4" s="1432" t="str">
        <f>"Cost of Service Formula Rate Using "&amp;TCOS!L4&amp;" FF1 Balances"</f>
        <v>Cost of Service Formula Rate Using 2018 FF1 Balances</v>
      </c>
      <c r="B4" s="1432"/>
      <c r="C4" s="1432"/>
      <c r="D4" s="1432"/>
      <c r="E4" s="1432"/>
      <c r="F4" s="1432"/>
      <c r="G4" s="1432"/>
      <c r="H4" s="1432"/>
      <c r="I4" s="1432"/>
      <c r="J4" s="1432"/>
      <c r="K4" s="96"/>
      <c r="L4" s="96"/>
      <c r="M4" s="96"/>
    </row>
    <row r="5" spans="1:29" ht="18">
      <c r="A5" s="1432" t="s">
        <v>547</v>
      </c>
      <c r="B5" s="1432"/>
      <c r="C5" s="1432"/>
      <c r="D5" s="1432"/>
      <c r="E5" s="1432"/>
      <c r="F5" s="1432"/>
      <c r="G5" s="1432"/>
      <c r="H5" s="1432"/>
      <c r="I5" s="1432"/>
      <c r="J5" s="1432"/>
      <c r="K5" s="153"/>
      <c r="L5" s="153"/>
      <c r="M5" s="153"/>
    </row>
    <row r="6" spans="1:29" ht="18">
      <c r="A6" s="1427" t="str">
        <f>+TCOS!F9</f>
        <v>Appalachian Power Company</v>
      </c>
      <c r="B6" s="1427"/>
      <c r="C6" s="1427"/>
      <c r="D6" s="1427"/>
      <c r="E6" s="1427"/>
      <c r="F6" s="1427"/>
      <c r="G6" s="1427"/>
      <c r="H6" s="1427"/>
      <c r="I6" s="1427"/>
      <c r="J6" s="1427"/>
      <c r="K6" s="161"/>
      <c r="L6" s="161"/>
      <c r="M6" s="161"/>
    </row>
    <row r="8" spans="1:29" ht="18">
      <c r="A8" s="167"/>
      <c r="B8" s="102"/>
      <c r="D8" s="104"/>
      <c r="E8" s="6"/>
      <c r="F8" s="106"/>
    </row>
    <row r="9" spans="1:29" ht="18">
      <c r="C9" s="7"/>
      <c r="D9" s="104"/>
      <c r="E9" s="6"/>
      <c r="F9" s="106"/>
      <c r="Q9" s="152"/>
      <c r="R9" s="152"/>
      <c r="S9" s="152"/>
      <c r="T9" s="152"/>
      <c r="U9" s="152"/>
      <c r="V9" s="152"/>
      <c r="W9" s="152"/>
      <c r="X9" s="152"/>
      <c r="Y9" s="152"/>
      <c r="Z9" s="152"/>
      <c r="AA9" s="152"/>
      <c r="AB9" s="152"/>
      <c r="AC9" s="152"/>
    </row>
    <row r="10" spans="1:29">
      <c r="C10" s="7"/>
      <c r="D10" s="104"/>
    </row>
    <row r="11" spans="1:29">
      <c r="C11" s="7"/>
      <c r="D11" s="104"/>
    </row>
    <row r="12" spans="1:29">
      <c r="C12" s="7"/>
      <c r="D12" s="104"/>
      <c r="H12" s="105"/>
    </row>
    <row r="13" spans="1:29">
      <c r="C13" s="7"/>
      <c r="D13" s="104"/>
      <c r="H13" s="105"/>
    </row>
    <row r="14" spans="1:29">
      <c r="C14" s="7"/>
      <c r="D14" s="104"/>
      <c r="E14" s="6"/>
      <c r="H14" s="105"/>
    </row>
    <row r="15" spans="1:29">
      <c r="C15" s="7"/>
      <c r="D15" s="104"/>
      <c r="E15" s="6"/>
      <c r="H15" s="106"/>
    </row>
    <row r="16" spans="1:29">
      <c r="C16" s="7"/>
      <c r="D16" s="104"/>
      <c r="E16" s="6"/>
      <c r="H16" s="162"/>
    </row>
    <row r="18" spans="1:12" ht="18">
      <c r="A18" s="167"/>
      <c r="B18" s="19"/>
    </row>
    <row r="20" spans="1:12">
      <c r="A20" s="18"/>
      <c r="B20" s="18"/>
      <c r="C20" s="163"/>
      <c r="E20" s="163"/>
      <c r="F20" s="163"/>
      <c r="G20" s="163"/>
      <c r="H20" s="163"/>
      <c r="I20" s="163"/>
      <c r="J20" s="164"/>
    </row>
    <row r="22" spans="1:12">
      <c r="E22" s="165"/>
      <c r="F22" s="166"/>
      <c r="G22" s="166"/>
      <c r="I22" s="166"/>
      <c r="L22" s="304"/>
    </row>
    <row r="23" spans="1:12">
      <c r="E23" s="108"/>
      <c r="F23" s="166"/>
      <c r="G23" s="166"/>
      <c r="I23" s="166"/>
      <c r="L23" s="304"/>
    </row>
    <row r="24" spans="1:12">
      <c r="E24" s="108"/>
      <c r="F24" s="166"/>
      <c r="G24" s="166"/>
      <c r="I24" s="166"/>
      <c r="L24" s="304"/>
    </row>
    <row r="25" spans="1:12">
      <c r="E25" s="108"/>
      <c r="F25" s="166"/>
      <c r="G25" s="166"/>
      <c r="I25" s="166"/>
      <c r="L25" s="304"/>
    </row>
    <row r="26" spans="1:12">
      <c r="E26" s="108"/>
      <c r="F26" s="166"/>
      <c r="G26" s="166"/>
      <c r="I26" s="166"/>
      <c r="L26" s="304"/>
    </row>
    <row r="27" spans="1:12">
      <c r="E27" s="108"/>
      <c r="F27" s="166"/>
      <c r="G27" s="166"/>
      <c r="I27" s="166"/>
      <c r="L27" s="304"/>
    </row>
    <row r="28" spans="1:12">
      <c r="E28" s="108"/>
      <c r="F28" s="166"/>
      <c r="G28" s="166"/>
      <c r="I28" s="166"/>
      <c r="L28" s="304"/>
    </row>
    <row r="29" spans="1:12">
      <c r="E29" s="108"/>
      <c r="F29" s="166"/>
      <c r="G29" s="166"/>
      <c r="I29" s="166"/>
      <c r="L29" s="304"/>
    </row>
    <row r="30" spans="1:12">
      <c r="E30" s="108"/>
      <c r="F30" s="166"/>
      <c r="G30" s="166"/>
      <c r="I30" s="166"/>
      <c r="L30" s="304"/>
    </row>
    <row r="31" spans="1:12">
      <c r="E31" s="108"/>
      <c r="F31" s="166"/>
      <c r="G31" s="166"/>
      <c r="I31" s="166"/>
      <c r="L31" s="304"/>
    </row>
    <row r="32" spans="1:12">
      <c r="E32" s="108"/>
      <c r="F32" s="166"/>
      <c r="G32" s="166"/>
      <c r="I32" s="166"/>
      <c r="L32" s="304"/>
    </row>
    <row r="33" spans="1:12">
      <c r="E33" s="108"/>
      <c r="F33" s="166"/>
      <c r="G33" s="166"/>
      <c r="I33" s="166"/>
      <c r="L33" s="304"/>
    </row>
    <row r="35" spans="1:12">
      <c r="H35" s="98"/>
      <c r="I35" s="308"/>
    </row>
    <row r="37" spans="1:12" ht="18">
      <c r="A37" s="167"/>
      <c r="B37" s="19"/>
    </row>
    <row r="44" spans="1:12" ht="18">
      <c r="A44" s="167"/>
      <c r="B44" s="176"/>
      <c r="C44" s="168"/>
      <c r="E44" s="168"/>
      <c r="F44" s="168"/>
      <c r="G44" s="168"/>
      <c r="H44" s="168"/>
      <c r="I44" s="104"/>
    </row>
    <row r="45" spans="1:12">
      <c r="B45" s="169"/>
      <c r="C45" s="168"/>
      <c r="E45" s="168"/>
      <c r="F45" s="168"/>
      <c r="G45" s="168"/>
      <c r="H45" s="168"/>
      <c r="I45" s="104"/>
    </row>
    <row r="46" spans="1:12">
      <c r="B46" s="175"/>
      <c r="C46" s="168"/>
      <c r="E46" s="168"/>
      <c r="F46" s="168"/>
      <c r="G46" s="177"/>
      <c r="H46" s="177"/>
    </row>
    <row r="47" spans="1:12">
      <c r="B47" s="175"/>
      <c r="C47" s="170"/>
      <c r="E47" s="170"/>
      <c r="F47" s="170"/>
      <c r="G47" s="170"/>
    </row>
    <row r="48" spans="1:12">
      <c r="B48" s="172"/>
      <c r="F48" s="98"/>
      <c r="G48" s="211"/>
      <c r="H48" s="180"/>
      <c r="I48" s="173"/>
      <c r="J48" s="178"/>
    </row>
    <row r="49" spans="2:10">
      <c r="B49" s="172"/>
      <c r="F49" s="98"/>
      <c r="G49" s="171"/>
      <c r="H49" s="180"/>
      <c r="I49" s="173"/>
      <c r="J49" s="178"/>
    </row>
    <row r="50" spans="2:10">
      <c r="B50" s="175"/>
      <c r="G50" s="171"/>
      <c r="H50" s="180"/>
      <c r="I50" s="173"/>
      <c r="J50" s="178"/>
    </row>
    <row r="51" spans="2:10">
      <c r="B51" s="244"/>
      <c r="C51" s="245"/>
      <c r="D51" s="168"/>
      <c r="E51" s="168"/>
      <c r="F51" s="168"/>
      <c r="G51" s="309"/>
      <c r="H51" s="178"/>
      <c r="J51" s="178"/>
    </row>
    <row r="52" spans="2:10">
      <c r="F52" s="98"/>
      <c r="G52" s="211"/>
      <c r="J52" s="179"/>
    </row>
    <row r="55" spans="2:10">
      <c r="D55" s="179"/>
    </row>
    <row r="56" spans="2:10">
      <c r="D56" s="179"/>
      <c r="H56" s="104"/>
    </row>
    <row r="57" spans="2:10">
      <c r="D57" s="179"/>
      <c r="H57" s="168"/>
    </row>
    <row r="58" spans="2:10">
      <c r="D58" s="179"/>
    </row>
    <row r="59" spans="2:10">
      <c r="D59" s="179"/>
      <c r="H59" s="104"/>
    </row>
    <row r="60" spans="2:10">
      <c r="D60" s="179"/>
    </row>
    <row r="61" spans="2:10">
      <c r="D61" s="179"/>
    </row>
    <row r="62" spans="2:10">
      <c r="D62" s="179"/>
    </row>
    <row r="63" spans="2:10">
      <c r="D63" s="179"/>
      <c r="H63" s="169"/>
    </row>
    <row r="64" spans="2:10">
      <c r="D64" s="179"/>
      <c r="H64" s="212"/>
    </row>
    <row r="65" spans="2:8">
      <c r="D65" s="179"/>
      <c r="H65" s="212"/>
    </row>
    <row r="66" spans="2:8">
      <c r="D66" s="179"/>
    </row>
    <row r="74" spans="2:8">
      <c r="B74" s="172"/>
      <c r="G74" s="173"/>
    </row>
    <row r="75" spans="2:8">
      <c r="G75" s="173"/>
    </row>
    <row r="76" spans="2:8">
      <c r="B76" s="213"/>
      <c r="G76" s="214"/>
    </row>
    <row r="77" spans="2:8">
      <c r="G77" s="173"/>
    </row>
    <row r="78" spans="2:8">
      <c r="G78" s="174"/>
    </row>
  </sheetData>
  <mergeCells count="4">
    <mergeCell ref="A4:J4"/>
    <mergeCell ref="A3:J3"/>
    <mergeCell ref="A6:J6"/>
    <mergeCell ref="A5:J5"/>
  </mergeCells>
  <phoneticPr fontId="0" type="noConversion"/>
  <pageMargins left="0.26" right="0.61" top="1" bottom="1" header="0.75" footer="0.5"/>
  <pageSetup scale="74"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240"/>
  <sheetViews>
    <sheetView view="pageBreakPreview" topLeftCell="D27" zoomScale="85" zoomScaleNormal="100" zoomScaleSheetLayoutView="85" workbookViewId="0">
      <selection activeCell="D24" sqref="D24"/>
    </sheetView>
  </sheetViews>
  <sheetFormatPr defaultColWidth="8.85546875" defaultRowHeight="12.75"/>
  <cols>
    <col min="1" max="1" width="4.5703125" style="334" customWidth="1"/>
    <col min="2" max="2" width="6.5703125" style="415" customWidth="1"/>
    <col min="3" max="3" width="42" style="334" customWidth="1"/>
    <col min="4" max="4" width="17.5703125" style="426" customWidth="1"/>
    <col min="5" max="7" width="17.5703125" style="334" customWidth="1"/>
    <col min="8" max="8" width="17.5703125" style="592" customWidth="1"/>
    <col min="9" max="9" width="17.5703125" style="334" bestFit="1" customWidth="1"/>
    <col min="10" max="10" width="2.140625" style="318" customWidth="1"/>
    <col min="11" max="11" width="20.5703125" style="334" customWidth="1"/>
    <col min="12" max="14" width="17.5703125" style="334" customWidth="1"/>
    <col min="15" max="15" width="16.5703125" style="334" customWidth="1"/>
    <col min="16" max="16" width="2.140625" style="543" customWidth="1"/>
    <col min="17" max="16384" width="8.85546875" style="334"/>
  </cols>
  <sheetData>
    <row r="1" spans="1:16" ht="15.75">
      <c r="A1" s="899" t="s">
        <v>115</v>
      </c>
    </row>
    <row r="2" spans="1:16" ht="15.75">
      <c r="A2" s="899" t="s">
        <v>115</v>
      </c>
    </row>
    <row r="3" spans="1:16" ht="15">
      <c r="A3" s="1420" t="s">
        <v>388</v>
      </c>
      <c r="B3" s="1420"/>
      <c r="C3" s="1420"/>
      <c r="D3" s="1420"/>
      <c r="E3" s="1420"/>
      <c r="F3" s="1420"/>
      <c r="G3" s="1420"/>
      <c r="H3" s="1420"/>
      <c r="I3" s="1420"/>
      <c r="J3" s="1420"/>
      <c r="K3" s="1420"/>
      <c r="L3" s="1420"/>
      <c r="M3" s="1420"/>
      <c r="N3" s="1420"/>
      <c r="O3" s="1420"/>
      <c r="P3" s="591"/>
    </row>
    <row r="4" spans="1:16" ht="15">
      <c r="A4" s="1421" t="str">
        <f>"Cost of Service Formula Rate Using "&amp;TCOS!L4&amp;" FF1 Balances"</f>
        <v>Cost of Service Formula Rate Using 2018 FF1 Balances</v>
      </c>
      <c r="B4" s="1421"/>
      <c r="C4" s="1421"/>
      <c r="D4" s="1421"/>
      <c r="E4" s="1421"/>
      <c r="F4" s="1421"/>
      <c r="G4" s="1421"/>
      <c r="H4" s="1421"/>
      <c r="I4" s="1421"/>
      <c r="J4" s="1421"/>
      <c r="K4" s="1421"/>
      <c r="L4" s="1421"/>
      <c r="M4" s="1421"/>
      <c r="N4" s="1421"/>
      <c r="O4" s="1421"/>
      <c r="P4" s="591"/>
    </row>
    <row r="5" spans="1:16" ht="15">
      <c r="A5" s="1421" t="s">
        <v>469</v>
      </c>
      <c r="B5" s="1421"/>
      <c r="C5" s="1421"/>
      <c r="D5" s="1421"/>
      <c r="E5" s="1421"/>
      <c r="F5" s="1421"/>
      <c r="G5" s="1421"/>
      <c r="H5" s="1421"/>
      <c r="I5" s="1421"/>
      <c r="J5" s="1421"/>
      <c r="K5" s="1421"/>
      <c r="L5" s="1421"/>
      <c r="M5" s="1421"/>
      <c r="N5" s="1421"/>
      <c r="O5" s="1421"/>
      <c r="P5" s="591"/>
    </row>
    <row r="6" spans="1:16" ht="15">
      <c r="A6" s="1422" t="str">
        <f>TCOS!F9</f>
        <v>Appalachian Power Company</v>
      </c>
      <c r="B6" s="1422"/>
      <c r="C6" s="1422"/>
      <c r="D6" s="1422"/>
      <c r="E6" s="1422"/>
      <c r="F6" s="1422"/>
      <c r="G6" s="1422"/>
      <c r="H6" s="1422"/>
      <c r="I6" s="1422"/>
      <c r="J6" s="1422"/>
      <c r="K6" s="1422"/>
      <c r="L6" s="1422"/>
      <c r="M6" s="1422"/>
      <c r="N6" s="1422"/>
      <c r="O6" s="1422"/>
      <c r="P6" s="591"/>
    </row>
    <row r="7" spans="1:16">
      <c r="P7" s="591"/>
    </row>
    <row r="8" spans="1:16" ht="20.25">
      <c r="A8" s="593"/>
      <c r="C8" s="415"/>
      <c r="N8" s="594" t="str">
        <f>"Page "&amp;P8&amp;" of "</f>
        <v xml:space="preserve">Page 1 of </v>
      </c>
      <c r="O8" s="595">
        <f>COUNT(P$8:P$56676)</f>
        <v>14</v>
      </c>
      <c r="P8" s="596">
        <v>1</v>
      </c>
    </row>
    <row r="9" spans="1:16" ht="18">
      <c r="C9" s="597"/>
      <c r="P9" s="591"/>
    </row>
    <row r="10" spans="1:16">
      <c r="P10" s="591"/>
    </row>
    <row r="11" spans="1:16" ht="18">
      <c r="B11" s="598" t="s">
        <v>172</v>
      </c>
      <c r="C11" s="1443" t="str">
        <f>"Calculate Return and Income Taxes with "&amp;F17&amp;" basis point ROE increase for Projects Qualified for Regional Billing."</f>
        <v>Calculate Return and Income Taxes with  basis point ROE increase for Projects Qualified for Regional Billing.</v>
      </c>
      <c r="D11" s="1444"/>
      <c r="E11" s="1444"/>
      <c r="F11" s="1444"/>
      <c r="G11" s="1444"/>
      <c r="H11" s="1444"/>
      <c r="P11" s="591"/>
    </row>
    <row r="12" spans="1:16" ht="18.75" customHeight="1">
      <c r="C12" s="1444"/>
      <c r="D12" s="1444"/>
      <c r="E12" s="1444"/>
      <c r="F12" s="1444"/>
      <c r="G12" s="1444"/>
      <c r="H12" s="1444"/>
      <c r="P12" s="591"/>
    </row>
    <row r="13" spans="1:16" ht="15.75" customHeight="1">
      <c r="C13" s="530"/>
      <c r="D13" s="530"/>
      <c r="E13" s="530"/>
      <c r="F13" s="530"/>
      <c r="G13" s="530"/>
      <c r="H13" s="530"/>
      <c r="P13" s="591"/>
    </row>
    <row r="14" spans="1:16" ht="15.75">
      <c r="C14" s="599" t="str">
        <f>"A.   Determine 'R' with hypothetical "&amp;F17&amp;" basis point increase in ROE for Identified Projects"</f>
        <v>A.   Determine 'R' with hypothetical  basis point increase in ROE for Identified Projects</v>
      </c>
      <c r="P14" s="591"/>
    </row>
    <row r="15" spans="1:16">
      <c r="C15" s="415"/>
      <c r="P15" s="591"/>
    </row>
    <row r="16" spans="1:16">
      <c r="C16" s="600" t="str">
        <f>"   ROE w/o incentives  (TCOS, ln "&amp;TCOS!B257&amp;")"</f>
        <v xml:space="preserve">   ROE w/o incentives  (TCOS, ln 156)</v>
      </c>
      <c r="E16" s="601"/>
      <c r="F16" s="602">
        <f>TCOS!J257</f>
        <v>0.10349999999999999</v>
      </c>
      <c r="G16" s="601"/>
      <c r="H16" s="603"/>
      <c r="I16" s="603"/>
      <c r="J16" s="604"/>
      <c r="K16" s="603"/>
      <c r="L16" s="603"/>
      <c r="M16" s="603"/>
      <c r="N16" s="603"/>
      <c r="O16" s="603"/>
      <c r="P16" s="604"/>
    </row>
    <row r="17" spans="3:16">
      <c r="C17" s="600" t="s">
        <v>253</v>
      </c>
      <c r="E17" s="601"/>
      <c r="F17" s="872"/>
      <c r="G17" s="605"/>
      <c r="H17" s="603"/>
      <c r="I17" s="603"/>
      <c r="J17" s="604"/>
    </row>
    <row r="18" spans="3:16">
      <c r="C18" s="600" t="str">
        <f>"   ROE with additional "&amp;F17&amp;" basis point incentive"</f>
        <v xml:space="preserve">   ROE with additional  basis point incentive</v>
      </c>
      <c r="D18" s="601"/>
      <c r="E18" s="601"/>
      <c r="F18" s="606">
        <f>IF((F16+(F17/10000)&gt;0.1274),"ERROR",F16+(F17/10000))</f>
        <v>0.10349999999999999</v>
      </c>
      <c r="G18" s="607"/>
      <c r="H18" s="603"/>
      <c r="I18" s="603"/>
      <c r="J18" s="604"/>
    </row>
    <row r="19" spans="3:16">
      <c r="C19" s="60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01"/>
      <c r="F19" s="608"/>
      <c r="G19" s="601"/>
      <c r="H19" s="603"/>
      <c r="I19" s="603"/>
      <c r="J19" s="604"/>
    </row>
    <row r="20" spans="3:16">
      <c r="C20" s="604"/>
      <c r="D20" s="609" t="s">
        <v>147</v>
      </c>
      <c r="E20" s="609" t="s">
        <v>146</v>
      </c>
      <c r="F20" s="610" t="s">
        <v>254</v>
      </c>
      <c r="G20" s="601"/>
      <c r="H20" s="603"/>
      <c r="I20" s="603"/>
      <c r="J20" s="604"/>
    </row>
    <row r="21" spans="3:16" ht="13.5" thickBot="1">
      <c r="C21" s="611" t="s">
        <v>258</v>
      </c>
      <c r="D21" s="612">
        <f>TCOS!H255</f>
        <v>0.5087358066140184</v>
      </c>
      <c r="E21" s="613">
        <f>TCOS!J255</f>
        <v>4.7516662567088024E-2</v>
      </c>
      <c r="F21" s="614">
        <f>E21*D21</f>
        <v>2.4173427658673662E-2</v>
      </c>
      <c r="G21" s="601"/>
      <c r="H21" s="603"/>
      <c r="I21" s="615"/>
      <c r="J21" s="616"/>
      <c r="K21" s="538"/>
      <c r="L21" s="538"/>
      <c r="M21" s="538"/>
      <c r="N21" s="538"/>
      <c r="O21" s="538"/>
    </row>
    <row r="22" spans="3:16">
      <c r="C22" s="611" t="s">
        <v>259</v>
      </c>
      <c r="D22" s="612">
        <f>TCOS!H256</f>
        <v>0</v>
      </c>
      <c r="E22" s="613">
        <f>TCOS!J256</f>
        <v>0</v>
      </c>
      <c r="F22" s="614">
        <f>E22*D22</f>
        <v>0</v>
      </c>
      <c r="G22" s="617"/>
      <c r="H22" s="617"/>
      <c r="I22" s="618"/>
      <c r="J22" s="619"/>
      <c r="K22" s="1437" t="s">
        <v>452</v>
      </c>
      <c r="L22" s="1438"/>
      <c r="M22" s="1438"/>
      <c r="N22" s="1438"/>
      <c r="O22" s="1439"/>
      <c r="P22" s="619"/>
    </row>
    <row r="23" spans="3:16">
      <c r="C23" s="620" t="s">
        <v>245</v>
      </c>
      <c r="D23" s="612">
        <f>TCOS!H257</f>
        <v>0.49126419338598154</v>
      </c>
      <c r="E23" s="613">
        <f>+F18</f>
        <v>0.10349999999999999</v>
      </c>
      <c r="F23" s="621">
        <f>E23*D23</f>
        <v>5.0845844015449088E-2</v>
      </c>
      <c r="G23" s="617"/>
      <c r="H23" s="617"/>
      <c r="I23" s="618"/>
      <c r="J23" s="619"/>
      <c r="K23" s="1440"/>
      <c r="L23" s="1441"/>
      <c r="M23" s="1441"/>
      <c r="N23" s="1441"/>
      <c r="O23" s="1442"/>
      <c r="P23" s="619"/>
    </row>
    <row r="24" spans="3:16">
      <c r="C24" s="622"/>
      <c r="D24" s="334"/>
      <c r="E24" s="623" t="s">
        <v>261</v>
      </c>
      <c r="F24" s="614">
        <f>SUM(F21:F23)</f>
        <v>7.5019271674122756E-2</v>
      </c>
      <c r="G24" s="617"/>
      <c r="H24" s="617"/>
      <c r="I24" s="618"/>
      <c r="J24" s="619"/>
      <c r="K24" s="624"/>
      <c r="L24" s="625"/>
      <c r="M24" s="626" t="s">
        <v>255</v>
      </c>
      <c r="N24" s="626" t="s">
        <v>256</v>
      </c>
      <c r="O24" s="627" t="s">
        <v>257</v>
      </c>
      <c r="P24" s="619"/>
    </row>
    <row r="25" spans="3:16">
      <c r="C25" s="543"/>
      <c r="D25" s="628"/>
      <c r="E25" s="628"/>
      <c r="F25" s="617"/>
      <c r="G25" s="617"/>
      <c r="H25" s="617"/>
      <c r="I25" s="617"/>
      <c r="J25" s="629"/>
      <c r="K25" s="630"/>
      <c r="L25" s="631"/>
      <c r="M25" s="631"/>
      <c r="N25" s="631"/>
      <c r="O25" s="632"/>
      <c r="P25" s="629"/>
    </row>
    <row r="26" spans="3:16" ht="16.5" thickBot="1">
      <c r="C26" s="599" t="str">
        <f>"B.   Determine Return using 'R' with hypothetical "&amp;F17&amp;" basis point ROE increase for Identified Projects."</f>
        <v>B.   Determine Return using 'R' with hypothetical  basis point ROE increase for Identified Projects.</v>
      </c>
      <c r="D26" s="628"/>
      <c r="E26" s="628"/>
      <c r="F26" s="633"/>
      <c r="G26" s="617"/>
      <c r="H26" s="601"/>
      <c r="I26" s="617"/>
      <c r="J26" s="629"/>
      <c r="K26" s="634" t="s">
        <v>262</v>
      </c>
      <c r="L26" s="635">
        <f>TCOS!L4</f>
        <v>2018</v>
      </c>
      <c r="M26" s="873">
        <f>N89+N179+N268+N357+N446+N535+N624+N713+N802+N891+N980+N1069+N1158</f>
        <v>26982748.397472795</v>
      </c>
      <c r="N26" s="873">
        <f>N90+N180+N269+N358+N447+N536+N625+N714+N803+N892+N981+N1070+N1159</f>
        <v>26982748.397472795</v>
      </c>
      <c r="O26" s="636">
        <f>+N26-M26</f>
        <v>0</v>
      </c>
      <c r="P26" s="629"/>
    </row>
    <row r="27" spans="3:16">
      <c r="C27" s="604"/>
      <c r="D27" s="628"/>
      <c r="E27" s="628"/>
      <c r="F27" s="629"/>
      <c r="G27" s="629"/>
      <c r="H27" s="629"/>
      <c r="I27" s="629"/>
      <c r="J27" s="629"/>
      <c r="K27" s="637"/>
      <c r="L27" s="637"/>
      <c r="M27" s="637"/>
      <c r="N27" s="637"/>
      <c r="O27" s="637"/>
      <c r="P27" s="629"/>
    </row>
    <row r="28" spans="3:16">
      <c r="C28" s="638" t="str">
        <f>"   Rate Base  (TCOS, ln "&amp;TCOS!B125&amp;")"</f>
        <v xml:space="preserve">   Rate Base  (TCOS, ln 68)</v>
      </c>
      <c r="D28" s="601"/>
      <c r="F28" s="639">
        <f>TCOS!L125</f>
        <v>1857636275.4989972</v>
      </c>
      <c r="G28" s="629"/>
      <c r="H28" s="629"/>
      <c r="I28" s="629"/>
      <c r="J28" s="629"/>
      <c r="K28" s="637"/>
      <c r="L28" s="637"/>
      <c r="M28" s="637"/>
      <c r="N28" s="637"/>
      <c r="O28" s="640"/>
      <c r="P28" s="629"/>
    </row>
    <row r="29" spans="3:16">
      <c r="C29" s="604" t="s">
        <v>475</v>
      </c>
      <c r="D29" s="641"/>
      <c r="F29" s="614">
        <f>F24</f>
        <v>7.5019271674122756E-2</v>
      </c>
      <c r="G29" s="629"/>
      <c r="H29" s="629"/>
      <c r="I29" s="629"/>
      <c r="J29" s="629"/>
      <c r="K29" s="629"/>
      <c r="L29" s="629"/>
      <c r="M29" s="629"/>
      <c r="N29" s="629"/>
      <c r="O29" s="629"/>
      <c r="P29" s="629"/>
    </row>
    <row r="30" spans="3:16">
      <c r="C30" s="642" t="s">
        <v>263</v>
      </c>
      <c r="D30" s="642"/>
      <c r="F30" s="618">
        <f>F28*F29</f>
        <v>139358520.42336482</v>
      </c>
      <c r="G30" s="629"/>
      <c r="H30" s="629"/>
      <c r="I30" s="619"/>
      <c r="J30" s="619"/>
      <c r="K30" s="619"/>
      <c r="L30" s="619"/>
      <c r="M30" s="619"/>
      <c r="N30" s="619"/>
      <c r="O30" s="629"/>
      <c r="P30" s="619"/>
    </row>
    <row r="31" spans="3:16">
      <c r="C31" s="643"/>
      <c r="D31" s="603"/>
      <c r="E31" s="603"/>
      <c r="F31" s="629"/>
      <c r="G31" s="629"/>
      <c r="H31" s="629"/>
      <c r="I31" s="619"/>
      <c r="J31" s="619"/>
      <c r="K31" s="619"/>
      <c r="L31" s="619"/>
      <c r="M31" s="619"/>
      <c r="N31" s="619"/>
      <c r="O31" s="629"/>
      <c r="P31" s="619"/>
    </row>
    <row r="32" spans="3:16" ht="15.75">
      <c r="C32" s="599" t="str">
        <f>"C.   Determine Income Taxes using Return with hypothetical "&amp;F17&amp;" basis point ROE increase for Identified Projects."</f>
        <v>C.   Determine Income Taxes using Return with hypothetical  basis point ROE increase for Identified Projects.</v>
      </c>
      <c r="D32" s="644"/>
      <c r="E32" s="644"/>
      <c r="F32" s="645"/>
      <c r="G32" s="645"/>
      <c r="H32" s="645"/>
      <c r="I32" s="646"/>
      <c r="J32" s="646"/>
      <c r="K32" s="646"/>
      <c r="L32" s="646"/>
      <c r="M32" s="646"/>
      <c r="N32" s="646"/>
      <c r="O32" s="645"/>
      <c r="P32" s="646"/>
    </row>
    <row r="33" spans="2:16">
      <c r="C33" s="622"/>
      <c r="D33" s="603"/>
      <c r="E33" s="603"/>
      <c r="F33" s="629"/>
      <c r="G33" s="629"/>
      <c r="H33" s="629"/>
      <c r="I33" s="619"/>
      <c r="J33" s="619"/>
      <c r="K33" s="619"/>
      <c r="L33" s="619"/>
      <c r="M33" s="619"/>
      <c r="N33" s="619"/>
      <c r="O33" s="629"/>
      <c r="P33" s="619"/>
    </row>
    <row r="34" spans="2:16">
      <c r="C34" s="604" t="s">
        <v>264</v>
      </c>
      <c r="D34" s="623"/>
      <c r="F34" s="647">
        <f>F30</f>
        <v>139358520.42336482</v>
      </c>
      <c r="G34" s="629"/>
      <c r="H34" s="629"/>
      <c r="I34" s="629"/>
      <c r="J34" s="629"/>
      <c r="K34" s="629"/>
      <c r="L34" s="629"/>
      <c r="M34" s="629"/>
      <c r="N34" s="629"/>
      <c r="O34" s="629"/>
      <c r="P34" s="629"/>
    </row>
    <row r="35" spans="2:16">
      <c r="C35" s="638" t="str">
        <f>"   Effective Tax Rate  (TCOS, ln "&amp;TCOS!B190&amp;")"</f>
        <v xml:space="preserve">   Effective Tax Rate  (TCOS, ln 114)</v>
      </c>
      <c r="D35" s="566"/>
      <c r="F35" s="648">
        <f>TCOS!G190</f>
        <v>0.21359294988851044</v>
      </c>
      <c r="G35" s="543"/>
      <c r="H35" s="649"/>
      <c r="I35" s="543"/>
      <c r="J35" s="591"/>
      <c r="K35" s="543"/>
      <c r="L35" s="543"/>
      <c r="M35" s="543"/>
      <c r="N35" s="543"/>
      <c r="O35" s="543"/>
      <c r="P35" s="591"/>
    </row>
    <row r="36" spans="2:16">
      <c r="C36" s="643" t="s">
        <v>265</v>
      </c>
      <c r="D36" s="566"/>
      <c r="F36" s="650">
        <f>F34*F35</f>
        <v>29765997.469324719</v>
      </c>
      <c r="G36" s="543"/>
      <c r="H36" s="649"/>
      <c r="I36" s="543"/>
      <c r="J36" s="591"/>
      <c r="K36" s="543"/>
      <c r="L36" s="543"/>
      <c r="M36" s="543"/>
      <c r="N36" s="543"/>
      <c r="O36" s="543"/>
      <c r="P36" s="591"/>
    </row>
    <row r="37" spans="2:16" ht="15">
      <c r="C37" s="622" t="s">
        <v>303</v>
      </c>
      <c r="D37" s="476"/>
      <c r="F37" s="651">
        <f>TCOS!L199</f>
        <v>0</v>
      </c>
      <c r="G37" s="476"/>
      <c r="H37" s="476"/>
      <c r="I37" s="476"/>
      <c r="J37" s="476"/>
      <c r="K37" s="476"/>
      <c r="L37" s="476"/>
      <c r="M37" s="476"/>
      <c r="N37" s="476"/>
      <c r="O37" s="392"/>
      <c r="P37" s="476"/>
    </row>
    <row r="38" spans="2:16" ht="15">
      <c r="C38" s="622" t="s">
        <v>533</v>
      </c>
      <c r="D38" s="476"/>
      <c r="F38" s="651">
        <f>TCOS!L200</f>
        <v>-3514150.2548084827</v>
      </c>
      <c r="G38" s="476"/>
      <c r="H38" s="476"/>
      <c r="I38" s="476"/>
      <c r="J38" s="476"/>
      <c r="K38" s="476"/>
      <c r="L38" s="476"/>
      <c r="M38" s="476"/>
      <c r="N38" s="476"/>
      <c r="O38" s="392"/>
      <c r="P38" s="476"/>
    </row>
    <row r="39" spans="2:16" ht="15">
      <c r="C39" s="622" t="s">
        <v>534</v>
      </c>
      <c r="D39" s="476"/>
      <c r="F39" s="652">
        <f>TCOS!L201</f>
        <v>1869403.9125431529</v>
      </c>
      <c r="G39" s="476"/>
      <c r="H39" s="476"/>
      <c r="I39" s="476"/>
      <c r="J39" s="476"/>
      <c r="K39" s="476"/>
      <c r="L39" s="476"/>
      <c r="M39" s="476"/>
      <c r="N39" s="476"/>
      <c r="O39" s="392"/>
      <c r="P39" s="476"/>
    </row>
    <row r="40" spans="2:16" ht="15">
      <c r="C40" s="643" t="s">
        <v>266</v>
      </c>
      <c r="D40" s="476"/>
      <c r="F40" s="651">
        <f>F36+F37+F38+F39</f>
        <v>28121251.127059389</v>
      </c>
      <c r="G40" s="476"/>
      <c r="H40" s="476"/>
      <c r="I40" s="476"/>
      <c r="J40" s="476"/>
      <c r="K40" s="476"/>
      <c r="L40" s="476"/>
      <c r="M40" s="476"/>
      <c r="N40" s="476"/>
      <c r="O40" s="350"/>
      <c r="P40" s="476"/>
    </row>
    <row r="41" spans="2:16" ht="12.75" customHeight="1">
      <c r="C41" s="400"/>
      <c r="D41" s="476"/>
      <c r="E41" s="476"/>
      <c r="F41" s="476"/>
      <c r="G41" s="476"/>
      <c r="H41" s="476"/>
      <c r="I41" s="476"/>
      <c r="J41" s="476"/>
      <c r="K41" s="476"/>
      <c r="L41" s="476"/>
      <c r="M41" s="476"/>
      <c r="N41" s="476"/>
      <c r="O41" s="350"/>
      <c r="P41" s="476"/>
    </row>
    <row r="42" spans="2:16" ht="18.75">
      <c r="B42" s="598" t="s">
        <v>173</v>
      </c>
      <c r="C42" s="597" t="str">
        <f>"Calculate Net Plant Carrying Charge Rate (Fixed Charge Rate or FCR) with hypothetical "&amp;F17&amp;""</f>
        <v xml:space="preserve">Calculate Net Plant Carrying Charge Rate (Fixed Charge Rate or FCR) with hypothetical </v>
      </c>
      <c r="D42" s="476"/>
      <c r="E42" s="476"/>
      <c r="F42" s="476"/>
      <c r="G42" s="476"/>
      <c r="H42" s="476"/>
      <c r="I42" s="476"/>
      <c r="J42" s="476"/>
      <c r="K42" s="476"/>
      <c r="L42" s="476"/>
      <c r="M42" s="476"/>
      <c r="N42" s="476"/>
      <c r="O42" s="350"/>
      <c r="P42" s="476"/>
    </row>
    <row r="43" spans="2:16" ht="18.75" customHeight="1">
      <c r="C43" s="597" t="str">
        <f>"basis point ROE increase."</f>
        <v>basis point ROE increase.</v>
      </c>
      <c r="D43" s="476"/>
      <c r="E43" s="476"/>
      <c r="F43" s="476"/>
      <c r="G43" s="476"/>
      <c r="H43" s="476"/>
      <c r="I43" s="476"/>
      <c r="J43" s="476"/>
      <c r="K43" s="476"/>
      <c r="L43" s="476"/>
      <c r="M43" s="476"/>
      <c r="N43" s="476"/>
      <c r="O43" s="350"/>
      <c r="P43" s="476"/>
    </row>
    <row r="44" spans="2:16" ht="12.75" customHeight="1">
      <c r="C44" s="597"/>
      <c r="D44" s="476"/>
      <c r="E44" s="476"/>
      <c r="F44" s="476"/>
      <c r="G44" s="476"/>
      <c r="H44" s="476"/>
      <c r="I44" s="476"/>
      <c r="J44" s="476"/>
      <c r="K44" s="476"/>
      <c r="L44" s="476"/>
      <c r="M44" s="476"/>
      <c r="N44" s="476"/>
      <c r="O44" s="350"/>
      <c r="P44" s="476"/>
    </row>
    <row r="45" spans="2:16" ht="15.75">
      <c r="C45" s="599" t="s">
        <v>466</v>
      </c>
      <c r="D45" s="476"/>
      <c r="E45" s="476"/>
      <c r="F45" s="475"/>
      <c r="G45" s="476"/>
      <c r="H45" s="476"/>
      <c r="I45" s="476"/>
      <c r="J45" s="476"/>
      <c r="K45" s="476"/>
      <c r="L45" s="476"/>
      <c r="M45" s="476"/>
      <c r="N45" s="476"/>
      <c r="O45" s="350"/>
      <c r="P45" s="476"/>
    </row>
    <row r="46" spans="2:16">
      <c r="B46" s="579"/>
      <c r="C46" s="600"/>
      <c r="D46" s="653"/>
      <c r="E46" s="653"/>
      <c r="F46" s="653"/>
      <c r="G46" s="653"/>
      <c r="H46" s="653"/>
      <c r="I46" s="653"/>
      <c r="J46" s="653"/>
      <c r="K46" s="653"/>
      <c r="L46" s="653"/>
      <c r="M46" s="653"/>
      <c r="N46" s="653"/>
      <c r="O46" s="651"/>
      <c r="P46" s="653"/>
    </row>
    <row r="47" spans="2:16" ht="12.75" customHeight="1">
      <c r="B47" s="579"/>
      <c r="C47" s="638" t="str">
        <f>"   Annual Revenue Requirement  (TCOS, ln "&amp;TCOS!B13&amp;")"</f>
        <v xml:space="preserve">   Annual Revenue Requirement  (TCOS, ln 1)</v>
      </c>
      <c r="D47" s="653"/>
      <c r="E47" s="653"/>
      <c r="G47" s="651">
        <f>TCOS!L13</f>
        <v>302222946.08830595</v>
      </c>
      <c r="H47" s="653"/>
      <c r="I47" s="653"/>
      <c r="J47" s="653"/>
      <c r="K47" s="653"/>
      <c r="L47" s="653"/>
      <c r="M47" s="653"/>
      <c r="N47" s="653"/>
      <c r="O47" s="651"/>
      <c r="P47" s="653"/>
    </row>
    <row r="48" spans="2:16" ht="12.75" customHeight="1">
      <c r="B48" s="579"/>
      <c r="C48" s="638" t="str">
        <f>"   Lease Payments (TCOS, Ln "&amp;TCOS!B168&amp;")"</f>
        <v xml:space="preserve">   Lease Payments (TCOS, Ln 95)</v>
      </c>
      <c r="D48" s="653"/>
      <c r="E48" s="653"/>
      <c r="G48" s="651">
        <f>TCOS!L168</f>
        <v>0</v>
      </c>
      <c r="H48" s="653"/>
      <c r="I48" s="653"/>
      <c r="J48" s="653"/>
      <c r="K48" s="653"/>
      <c r="L48" s="653"/>
      <c r="M48" s="653"/>
      <c r="N48" s="653"/>
      <c r="O48" s="651"/>
      <c r="P48" s="653"/>
    </row>
    <row r="49" spans="2:16">
      <c r="B49" s="579"/>
      <c r="C49" s="638" t="str">
        <f>"   Return  (TCOS, ln "&amp;TCOS!B205&amp;")"</f>
        <v xml:space="preserve">   Return  (TCOS, ln 126)</v>
      </c>
      <c r="D49" s="653"/>
      <c r="E49" s="653"/>
      <c r="G49" s="654">
        <f>TCOS!L205</f>
        <v>139358520.42336482</v>
      </c>
      <c r="H49" s="655"/>
      <c r="I49" s="655"/>
      <c r="J49" s="655"/>
      <c r="K49" s="655"/>
      <c r="L49" s="655"/>
      <c r="M49" s="655"/>
      <c r="N49" s="655"/>
      <c r="O49" s="651"/>
      <c r="P49" s="655"/>
    </row>
    <row r="50" spans="2:16">
      <c r="B50" s="579"/>
      <c r="C50" s="638" t="str">
        <f>"   Income Taxes  (TCOS, ln "&amp;TCOS!B203&amp;")"</f>
        <v xml:space="preserve">   Income Taxes  (TCOS, ln 125)</v>
      </c>
      <c r="D50" s="653"/>
      <c r="E50" s="653"/>
      <c r="G50" s="656">
        <f>TCOS!L203</f>
        <v>28121251.127059389</v>
      </c>
      <c r="H50" s="653"/>
      <c r="I50" s="657"/>
      <c r="J50" s="657"/>
      <c r="K50" s="657"/>
      <c r="L50" s="657"/>
      <c r="M50" s="657"/>
      <c r="N50" s="657"/>
      <c r="O50" s="653"/>
      <c r="P50" s="657"/>
    </row>
    <row r="51" spans="2:16">
      <c r="B51" s="579"/>
      <c r="C51" s="658" t="s">
        <v>591</v>
      </c>
      <c r="D51" s="653"/>
      <c r="E51" s="653"/>
      <c r="G51" s="654">
        <f>G47-G49-G50-G48</f>
        <v>134743174.53788173</v>
      </c>
      <c r="H51" s="653"/>
      <c r="I51" s="659"/>
      <c r="J51" s="659"/>
      <c r="K51" s="659"/>
      <c r="L51" s="659"/>
      <c r="M51" s="659"/>
      <c r="N51" s="659"/>
      <c r="O51" s="659"/>
      <c r="P51" s="659"/>
    </row>
    <row r="52" spans="2:16">
      <c r="B52" s="579"/>
      <c r="C52" s="600"/>
      <c r="D52" s="653"/>
      <c r="E52" s="653"/>
      <c r="F52" s="651"/>
      <c r="G52" s="660"/>
      <c r="H52" s="661"/>
      <c r="I52" s="661"/>
      <c r="J52" s="661"/>
      <c r="K52" s="661"/>
      <c r="L52" s="661"/>
      <c r="M52" s="661"/>
      <c r="N52" s="661"/>
      <c r="O52" s="661"/>
      <c r="P52" s="661"/>
    </row>
    <row r="53" spans="2:16" ht="15.75">
      <c r="B53" s="579"/>
      <c r="C53" s="599" t="str">
        <f>"B.   Determine Annual Revenue Requirement with hypothetical "&amp;F17&amp;" basis point increase in ROE."</f>
        <v>B.   Determine Annual Revenue Requirement with hypothetical  basis point increase in ROE.</v>
      </c>
      <c r="D53" s="662"/>
      <c r="E53" s="662"/>
      <c r="F53" s="651"/>
      <c r="G53" s="660"/>
      <c r="H53" s="661"/>
      <c r="I53" s="661"/>
      <c r="J53" s="661"/>
      <c r="K53" s="661"/>
      <c r="L53" s="661"/>
      <c r="M53" s="661"/>
      <c r="N53" s="661"/>
      <c r="O53" s="661"/>
      <c r="P53" s="661"/>
    </row>
    <row r="54" spans="2:16">
      <c r="B54" s="579"/>
      <c r="C54" s="600"/>
      <c r="D54" s="662"/>
      <c r="E54" s="662"/>
      <c r="F54" s="651"/>
      <c r="G54" s="660"/>
      <c r="H54" s="661"/>
      <c r="I54" s="661"/>
      <c r="J54" s="661"/>
      <c r="K54" s="661"/>
      <c r="L54" s="661"/>
      <c r="M54" s="661"/>
      <c r="N54" s="661"/>
      <c r="O54" s="661"/>
      <c r="P54" s="661"/>
    </row>
    <row r="55" spans="2:16">
      <c r="B55" s="579"/>
      <c r="C55" s="600" t="str">
        <f>C51</f>
        <v xml:space="preserve">   Annual Revenue Requirement, Less Lease Payments, Return and Taxes</v>
      </c>
      <c r="D55" s="662"/>
      <c r="E55" s="662"/>
      <c r="G55" s="651">
        <f>G51</f>
        <v>134743174.53788173</v>
      </c>
      <c r="H55" s="653"/>
      <c r="I55" s="653"/>
      <c r="J55" s="653"/>
      <c r="K55" s="653"/>
      <c r="L55" s="653"/>
      <c r="M55" s="653"/>
      <c r="N55" s="653"/>
      <c r="O55" s="663"/>
      <c r="P55" s="653"/>
    </row>
    <row r="56" spans="2:16">
      <c r="B56" s="579"/>
      <c r="C56" s="604" t="s">
        <v>300</v>
      </c>
      <c r="D56" s="664"/>
      <c r="E56" s="658"/>
      <c r="G56" s="665">
        <f>F30</f>
        <v>139358520.42336482</v>
      </c>
      <c r="H56" s="666"/>
      <c r="I56" s="658"/>
      <c r="J56" s="658"/>
      <c r="K56" s="658"/>
      <c r="L56" s="658"/>
      <c r="M56" s="658"/>
      <c r="N56" s="658"/>
      <c r="O56" s="658"/>
      <c r="P56" s="658"/>
    </row>
    <row r="57" spans="2:16" ht="12.75" customHeight="1">
      <c r="B57" s="579"/>
      <c r="C57" s="622" t="s">
        <v>267</v>
      </c>
      <c r="D57" s="653"/>
      <c r="E57" s="653"/>
      <c r="G57" s="656">
        <f>F40</f>
        <v>28121251.127059389</v>
      </c>
      <c r="H57" s="649"/>
      <c r="I57" s="543"/>
      <c r="J57" s="591"/>
      <c r="K57" s="543"/>
      <c r="L57" s="543"/>
      <c r="M57" s="543"/>
      <c r="N57" s="543"/>
      <c r="O57" s="543"/>
      <c r="P57" s="591"/>
    </row>
    <row r="58" spans="2:16">
      <c r="B58" s="579"/>
      <c r="C58" s="658" t="str">
        <f>"   Annual Revenue Requirement, with "&amp;F17&amp;" Basis Point ROE increase"</f>
        <v xml:space="preserve">   Annual Revenue Requirement, with  Basis Point ROE increase</v>
      </c>
      <c r="D58" s="566"/>
      <c r="E58" s="543"/>
      <c r="G58" s="650">
        <f>SUM(G55:G57)</f>
        <v>302222946.08830595</v>
      </c>
      <c r="H58" s="649"/>
      <c r="I58" s="543"/>
      <c r="J58" s="591"/>
      <c r="K58" s="543"/>
      <c r="L58" s="543"/>
      <c r="M58" s="543"/>
      <c r="N58" s="543"/>
      <c r="O58" s="543"/>
      <c r="P58" s="591"/>
    </row>
    <row r="59" spans="2:16">
      <c r="B59" s="579"/>
      <c r="C59" s="638" t="str">
        <f>"   Depreciation  (TCOS, ln "&amp;TCOS!B174&amp;")"</f>
        <v xml:space="preserve">   Depreciation  (TCOS, ln 100)</v>
      </c>
      <c r="D59" s="566"/>
      <c r="E59" s="543"/>
      <c r="G59" s="667">
        <f>TCOS!L174</f>
        <v>51211348.706752636</v>
      </c>
      <c r="H59" s="649"/>
      <c r="I59" s="543"/>
      <c r="J59" s="591"/>
      <c r="K59" s="543"/>
      <c r="L59" s="543"/>
      <c r="M59" s="543"/>
      <c r="N59" s="543"/>
      <c r="O59" s="543"/>
      <c r="P59" s="591"/>
    </row>
    <row r="60" spans="2:16">
      <c r="B60" s="579"/>
      <c r="C60" s="658" t="str">
        <f>"   Annual Rev. Req, w/"&amp;F17&amp;" Basis Point ROE increase, less Depreciation"</f>
        <v xml:space="preserve">   Annual Rev. Req, w/ Basis Point ROE increase, less Depreciation</v>
      </c>
      <c r="D60" s="566"/>
      <c r="E60" s="543"/>
      <c r="G60" s="650">
        <f>G58-G59</f>
        <v>251011597.38155332</v>
      </c>
      <c r="H60" s="649"/>
      <c r="I60" s="543"/>
      <c r="J60" s="591"/>
      <c r="K60" s="543"/>
      <c r="L60" s="543"/>
      <c r="M60" s="543"/>
      <c r="N60" s="543"/>
      <c r="O60" s="543"/>
      <c r="P60" s="591"/>
    </row>
    <row r="61" spans="2:16">
      <c r="B61" s="579"/>
      <c r="C61" s="543"/>
      <c r="D61" s="566"/>
      <c r="E61" s="543"/>
      <c r="F61" s="543"/>
      <c r="G61" s="543"/>
      <c r="H61" s="649"/>
      <c r="I61" s="543"/>
      <c r="J61" s="591"/>
      <c r="K61" s="543"/>
      <c r="L61" s="543"/>
      <c r="M61" s="543"/>
      <c r="N61" s="543"/>
      <c r="O61" s="543"/>
      <c r="P61" s="591"/>
    </row>
    <row r="62" spans="2:16" ht="15.75">
      <c r="B62" s="579"/>
      <c r="C62" s="599" t="str">
        <f>"C.   Determine FCR with hypothetical "&amp;F17&amp;" basis point ROE increase."</f>
        <v>C.   Determine FCR with hypothetical  basis point ROE increase.</v>
      </c>
      <c r="D62" s="566"/>
      <c r="E62" s="543"/>
      <c r="F62" s="543"/>
      <c r="G62" s="543"/>
      <c r="H62" s="649"/>
      <c r="I62" s="543"/>
      <c r="J62" s="591"/>
      <c r="K62" s="543"/>
      <c r="L62" s="543"/>
      <c r="M62" s="543"/>
      <c r="N62" s="543"/>
      <c r="O62" s="543"/>
      <c r="P62" s="591"/>
    </row>
    <row r="63" spans="2:16">
      <c r="B63" s="579"/>
      <c r="C63" s="543"/>
      <c r="D63" s="566"/>
      <c r="E63" s="543"/>
      <c r="F63" s="543"/>
      <c r="G63" s="543"/>
      <c r="H63" s="649"/>
      <c r="I63" s="543"/>
      <c r="J63" s="591"/>
      <c r="K63" s="543"/>
      <c r="L63" s="543"/>
      <c r="M63" s="543"/>
      <c r="N63" s="543"/>
      <c r="O63" s="543"/>
      <c r="P63" s="591"/>
    </row>
    <row r="64" spans="2:16">
      <c r="B64" s="579"/>
      <c r="C64" s="638" t="str">
        <f>"   Net Transmission Plant  (TCOS, ln "&amp;TCOS!B91&amp;")"</f>
        <v xml:space="preserve">   Net Transmission Plant  (TCOS, ln 42)</v>
      </c>
      <c r="D64" s="566"/>
      <c r="E64" s="543"/>
      <c r="G64" s="650">
        <f>TCOS!L91</f>
        <v>2326197936.7746153</v>
      </c>
      <c r="H64" s="668"/>
      <c r="I64" s="543"/>
      <c r="J64" s="591"/>
      <c r="K64" s="543"/>
      <c r="L64" s="543"/>
      <c r="M64" s="543"/>
      <c r="N64" s="543"/>
      <c r="O64" s="543"/>
      <c r="P64" s="591"/>
    </row>
    <row r="65" spans="2:16">
      <c r="B65" s="579"/>
      <c r="C65" s="658" t="str">
        <f>"   Annual Revenue Requirement, with "&amp;F17&amp;" Basis Point ROE increase"</f>
        <v xml:space="preserve">   Annual Revenue Requirement, with  Basis Point ROE increase</v>
      </c>
      <c r="D65" s="566"/>
      <c r="E65" s="543"/>
      <c r="G65" s="650">
        <f>G58</f>
        <v>302222946.08830595</v>
      </c>
      <c r="H65" s="649"/>
      <c r="I65" s="543"/>
      <c r="J65" s="591"/>
      <c r="K65" s="543"/>
      <c r="L65" s="543"/>
      <c r="M65" s="543"/>
      <c r="N65" s="543"/>
      <c r="O65" s="543"/>
      <c r="P65" s="591"/>
    </row>
    <row r="66" spans="2:16">
      <c r="B66" s="579"/>
      <c r="C66" s="658" t="str">
        <f>"   FCR with "&amp;F17&amp;" Basis Point increase in ROE"</f>
        <v xml:space="preserve">   FCR with  Basis Point increase in ROE</v>
      </c>
      <c r="D66" s="566"/>
      <c r="E66" s="543"/>
      <c r="G66" s="648">
        <f>G65/G64</f>
        <v>0.1299214229840443</v>
      </c>
      <c r="H66" s="649"/>
      <c r="I66" s="543"/>
      <c r="J66" s="591"/>
      <c r="K66" s="543"/>
      <c r="L66" s="543"/>
      <c r="M66" s="543"/>
      <c r="N66" s="543"/>
      <c r="O66" s="543"/>
      <c r="P66" s="591"/>
    </row>
    <row r="67" spans="2:16">
      <c r="B67" s="579"/>
      <c r="C67" s="372"/>
      <c r="D67" s="566"/>
      <c r="E67" s="543"/>
      <c r="G67" s="579"/>
      <c r="H67" s="649"/>
      <c r="I67" s="543"/>
      <c r="J67" s="591"/>
      <c r="K67" s="543"/>
      <c r="L67" s="543"/>
      <c r="M67" s="543"/>
      <c r="N67" s="543"/>
      <c r="O67" s="543"/>
      <c r="P67" s="591"/>
    </row>
    <row r="68" spans="2:16">
      <c r="B68" s="579"/>
      <c r="C68" s="658" t="str">
        <f>"   Annual Rev. Req, w / "&amp;F17&amp;" Basis Point ROE increase, less Dep."</f>
        <v xml:space="preserve">   Annual Rev. Req, w /  Basis Point ROE increase, less Dep.</v>
      </c>
      <c r="D68" s="566"/>
      <c r="E68" s="543"/>
      <c r="G68" s="650">
        <f>G60</f>
        <v>251011597.38155332</v>
      </c>
      <c r="H68" s="649"/>
      <c r="I68" s="543"/>
      <c r="J68" s="591"/>
      <c r="K68" s="543"/>
      <c r="L68" s="543"/>
      <c r="M68" s="543"/>
      <c r="N68" s="543"/>
      <c r="O68" s="543"/>
      <c r="P68" s="591"/>
    </row>
    <row r="69" spans="2:16">
      <c r="B69" s="579"/>
      <c r="C69" s="658" t="str">
        <f>"   FCR with "&amp;F17&amp;" Basis Point ROE increase, less Depreciation"</f>
        <v xml:space="preserve">   FCR with  Basis Point ROE increase, less Depreciation</v>
      </c>
      <c r="D69" s="566"/>
      <c r="E69" s="543"/>
      <c r="G69" s="648">
        <f>G68/G64</f>
        <v>0.10790637951024619</v>
      </c>
      <c r="H69" s="649"/>
      <c r="I69" s="543"/>
      <c r="J69" s="591"/>
      <c r="K69" s="543"/>
      <c r="L69" s="543"/>
      <c r="M69" s="543"/>
      <c r="N69" s="543"/>
      <c r="O69" s="543"/>
      <c r="P69" s="591"/>
    </row>
    <row r="70" spans="2:16">
      <c r="B70" s="579"/>
      <c r="C70" s="638" t="str">
        <f>"   FCR less Depreciation  (TCOS, ln "&amp;TCOS!B34&amp;")"</f>
        <v xml:space="preserve">   FCR less Depreciation  (TCOS, ln 10)</v>
      </c>
      <c r="D70" s="566"/>
      <c r="E70" s="543"/>
      <c r="G70" s="669">
        <f>TCOS!L34</f>
        <v>0.10790637951024619</v>
      </c>
      <c r="H70" s="649"/>
      <c r="I70" s="543"/>
      <c r="J70" s="591"/>
      <c r="K70" s="543"/>
      <c r="L70" s="543"/>
      <c r="M70" s="543"/>
      <c r="N70" s="543"/>
      <c r="O70" s="543"/>
      <c r="P70" s="591"/>
    </row>
    <row r="71" spans="2:16">
      <c r="B71" s="579"/>
      <c r="C71" s="658" t="str">
        <f>"   Incremental FCR with "&amp;F17&amp;" Basis Point ROE increase, less Depreciation"</f>
        <v xml:space="preserve">   Incremental FCR with  Basis Point ROE increase, less Depreciation</v>
      </c>
      <c r="D71" s="566"/>
      <c r="E71" s="543"/>
      <c r="G71" s="648">
        <f>G69-G70</f>
        <v>0</v>
      </c>
      <c r="H71" s="649"/>
      <c r="I71" s="543"/>
      <c r="J71" s="591"/>
      <c r="K71" s="543"/>
      <c r="L71" s="543"/>
      <c r="M71" s="543"/>
      <c r="N71" s="543"/>
      <c r="O71" s="543"/>
      <c r="P71" s="591"/>
    </row>
    <row r="72" spans="2:16">
      <c r="B72" s="579"/>
      <c r="C72" s="658"/>
      <c r="D72" s="566"/>
      <c r="E72" s="543"/>
      <c r="F72" s="648"/>
      <c r="G72" s="543"/>
      <c r="H72" s="649"/>
      <c r="I72" s="543"/>
      <c r="J72" s="591"/>
      <c r="K72" s="543"/>
      <c r="L72" s="543"/>
      <c r="M72" s="543"/>
      <c r="N72" s="543"/>
      <c r="O72" s="543"/>
      <c r="P72" s="591"/>
    </row>
    <row r="73" spans="2:16" ht="18.75">
      <c r="B73" s="598" t="s">
        <v>174</v>
      </c>
      <c r="C73" s="597" t="s">
        <v>268</v>
      </c>
      <c r="D73" s="566"/>
      <c r="E73" s="543"/>
      <c r="F73" s="648"/>
      <c r="G73" s="543"/>
      <c r="H73" s="649"/>
      <c r="I73" s="543"/>
      <c r="J73" s="591"/>
      <c r="K73" s="543"/>
      <c r="L73" s="543"/>
      <c r="M73" s="543"/>
      <c r="N73" s="543"/>
      <c r="O73" s="543"/>
      <c r="P73" s="591"/>
    </row>
    <row r="74" spans="2:16">
      <c r="B74" s="579"/>
      <c r="C74" s="658"/>
      <c r="D74" s="566"/>
      <c r="E74" s="543"/>
      <c r="F74" s="648"/>
      <c r="G74" s="543"/>
      <c r="H74" s="649"/>
      <c r="I74" s="543"/>
      <c r="J74" s="591"/>
      <c r="K74" s="543"/>
      <c r="L74" s="543"/>
      <c r="M74" s="543"/>
      <c r="N74" s="543"/>
      <c r="O74" s="543"/>
      <c r="P74" s="591"/>
    </row>
    <row r="75" spans="2:16">
      <c r="B75" s="579"/>
      <c r="C75" s="658" t="str">
        <f>+"Average Transmission Plant Balance for "&amp;TCOS!L4&amp;" (TCOS, ln "&amp;TCOS!B68&amp;")"</f>
        <v>Average Transmission Plant Balance for 2018 (TCOS, ln 21)</v>
      </c>
      <c r="D75" s="566"/>
      <c r="G75" s="649">
        <f>TCOS!L68</f>
        <v>3030758258.7323074</v>
      </c>
      <c r="I75" s="543"/>
      <c r="J75" s="591"/>
      <c r="K75" s="672"/>
      <c r="L75" s="543"/>
      <c r="M75" s="543"/>
      <c r="N75" s="543"/>
      <c r="O75" s="543"/>
      <c r="P75" s="591"/>
    </row>
    <row r="76" spans="2:16">
      <c r="B76" s="579"/>
      <c r="C76" s="670" t="str">
        <f>"Annual Depreciation and Amortization Expense  (TCOS, ln "&amp;TCOS!B174&amp;")"</f>
        <v>Annual Depreciation and Amortization Expense  (TCOS, ln 100)</v>
      </c>
      <c r="D76" s="566"/>
      <c r="E76" s="543"/>
      <c r="G76" s="671">
        <f>TCOS!L174</f>
        <v>51211348.706752636</v>
      </c>
      <c r="H76" s="649"/>
      <c r="I76" s="543"/>
      <c r="J76" s="591"/>
      <c r="K76" s="543"/>
      <c r="L76" s="543"/>
      <c r="M76" s="543"/>
      <c r="N76" s="543"/>
      <c r="O76" s="543"/>
      <c r="P76" s="591"/>
    </row>
    <row r="77" spans="2:16">
      <c r="B77" s="579"/>
      <c r="C77" s="658" t="s">
        <v>269</v>
      </c>
      <c r="D77" s="566"/>
      <c r="E77" s="543"/>
      <c r="G77" s="648">
        <f>+G76/G75</f>
        <v>1.6897206683905267E-2</v>
      </c>
      <c r="H77" s="673"/>
      <c r="I77" s="543"/>
      <c r="J77" s="591"/>
      <c r="K77" s="543"/>
      <c r="L77" s="543"/>
      <c r="M77" s="543"/>
      <c r="N77" s="543"/>
      <c r="O77" s="543"/>
      <c r="P77" s="591"/>
    </row>
    <row r="78" spans="2:16">
      <c r="B78" s="579"/>
      <c r="C78" s="658" t="s">
        <v>270</v>
      </c>
      <c r="D78" s="566"/>
      <c r="E78" s="543"/>
      <c r="G78" s="673">
        <f>1/G77</f>
        <v>59.181379426015333</v>
      </c>
      <c r="H78" s="649"/>
      <c r="I78" s="543"/>
      <c r="J78" s="591"/>
      <c r="K78" s="543"/>
      <c r="L78" s="543"/>
      <c r="M78" s="543"/>
      <c r="N78" s="543"/>
      <c r="O78" s="543"/>
      <c r="P78" s="591"/>
    </row>
    <row r="79" spans="2:16">
      <c r="B79" s="579"/>
      <c r="C79" s="658" t="s">
        <v>271</v>
      </c>
      <c r="D79" s="566"/>
      <c r="E79" s="543"/>
      <c r="G79" s="674">
        <f>ROUND(G78,0)</f>
        <v>59</v>
      </c>
      <c r="H79" s="649"/>
      <c r="I79" s="543"/>
      <c r="J79" s="591"/>
      <c r="K79" s="543"/>
      <c r="L79" s="543"/>
      <c r="M79" s="543"/>
      <c r="N79" s="543"/>
      <c r="O79" s="543"/>
      <c r="P79" s="591"/>
    </row>
    <row r="80" spans="2:16">
      <c r="B80" s="579"/>
      <c r="C80" s="658"/>
      <c r="D80" s="566"/>
      <c r="E80" s="543"/>
      <c r="G80" s="674"/>
      <c r="H80" s="649"/>
      <c r="I80" s="543"/>
      <c r="J80" s="591"/>
      <c r="K80" s="543"/>
      <c r="L80" s="543"/>
      <c r="M80" s="543"/>
      <c r="N80" s="543"/>
      <c r="O80" s="543"/>
      <c r="P80" s="591"/>
    </row>
    <row r="83" spans="1:16" ht="20.25">
      <c r="A83" s="678" t="s">
        <v>993</v>
      </c>
      <c r="B83" s="543"/>
      <c r="C83" s="658"/>
      <c r="D83" s="566"/>
      <c r="E83" s="543"/>
      <c r="F83" s="648"/>
      <c r="G83" s="543"/>
      <c r="H83" s="1257"/>
      <c r="K83" s="679"/>
      <c r="L83" s="679"/>
      <c r="M83" s="679"/>
      <c r="N83" s="594" t="str">
        <f>"Page "&amp;SUM(P$6:P83)&amp;" of "</f>
        <v xml:space="preserve">Page 2 of </v>
      </c>
      <c r="O83" s="595">
        <f>COUNT(P$6:P$59606)</f>
        <v>14</v>
      </c>
      <c r="P83" s="670">
        <v>1</v>
      </c>
    </row>
    <row r="84" spans="1:16">
      <c r="B84" s="543"/>
      <c r="C84" s="543"/>
      <c r="D84" s="566"/>
      <c r="E84" s="543"/>
      <c r="F84" s="543"/>
      <c r="G84" s="543"/>
      <c r="H84" s="1257"/>
      <c r="I84" s="543"/>
      <c r="J84" s="591"/>
      <c r="K84" s="543"/>
      <c r="L84" s="543"/>
      <c r="M84" s="543"/>
      <c r="N84" s="543"/>
      <c r="O84" s="543"/>
      <c r="P84" s="591"/>
    </row>
    <row r="85" spans="1:16" ht="18">
      <c r="B85" s="598" t="s">
        <v>175</v>
      </c>
      <c r="C85" s="680" t="s">
        <v>291</v>
      </c>
      <c r="D85" s="566"/>
      <c r="E85" s="543"/>
      <c r="F85" s="543"/>
      <c r="G85" s="543"/>
      <c r="H85" s="1257"/>
      <c r="I85" s="1257"/>
      <c r="J85" s="1258"/>
      <c r="K85" s="1257"/>
      <c r="L85" s="1257"/>
      <c r="M85" s="1257"/>
      <c r="N85" s="1257"/>
      <c r="O85" s="543"/>
      <c r="P85" s="1258"/>
    </row>
    <row r="86" spans="1:16" ht="18.75">
      <c r="B86" s="598"/>
      <c r="C86" s="597"/>
      <c r="D86" s="566"/>
      <c r="E86" s="543"/>
      <c r="F86" s="543"/>
      <c r="G86" s="543"/>
      <c r="H86" s="1257"/>
      <c r="I86" s="1257"/>
      <c r="J86" s="1258"/>
      <c r="K86" s="1257"/>
      <c r="L86" s="1257"/>
      <c r="M86" s="1257"/>
      <c r="N86" s="1257"/>
      <c r="O86" s="543"/>
      <c r="P86" s="1258"/>
    </row>
    <row r="87" spans="1:16" ht="18.75">
      <c r="B87" s="598"/>
      <c r="C87" s="597" t="s">
        <v>292</v>
      </c>
      <c r="D87" s="566"/>
      <c r="E87" s="543"/>
      <c r="F87" s="543"/>
      <c r="G87" s="543"/>
      <c r="H87" s="1257"/>
      <c r="I87" s="1257"/>
      <c r="J87" s="1258"/>
      <c r="K87" s="1257"/>
      <c r="L87" s="1257"/>
      <c r="M87" s="1257"/>
      <c r="N87" s="1257"/>
      <c r="O87" s="543"/>
      <c r="P87" s="1258"/>
    </row>
    <row r="88" spans="1:16" ht="15.75" thickBot="1">
      <c r="B88" s="334"/>
      <c r="C88" s="400"/>
      <c r="D88" s="566"/>
      <c r="E88" s="543"/>
      <c r="F88" s="543"/>
      <c r="G88" s="543"/>
      <c r="H88" s="1257"/>
      <c r="I88" s="1257"/>
      <c r="J88" s="1258"/>
      <c r="K88" s="1257"/>
      <c r="L88" s="1257"/>
      <c r="M88" s="1257"/>
      <c r="N88" s="1257"/>
      <c r="O88" s="543"/>
      <c r="P88" s="1258"/>
    </row>
    <row r="89" spans="1:16" ht="15.75">
      <c r="B89" s="334"/>
      <c r="C89" s="599" t="s">
        <v>293</v>
      </c>
      <c r="D89" s="566"/>
      <c r="E89" s="543"/>
      <c r="F89" s="543"/>
      <c r="G89" s="1259"/>
      <c r="H89" s="543" t="s">
        <v>272</v>
      </c>
      <c r="I89" s="543"/>
      <c r="J89" s="591"/>
      <c r="K89" s="681" t="s">
        <v>297</v>
      </c>
      <c r="L89" s="682"/>
      <c r="M89" s="683"/>
      <c r="N89" s="1260">
        <f>VLOOKUP(I95,C102:O161,5)</f>
        <v>1469471.9061440425</v>
      </c>
      <c r="O89" s="543"/>
      <c r="P89" s="591"/>
    </row>
    <row r="90" spans="1:16" ht="15.75">
      <c r="B90" s="334"/>
      <c r="C90" s="599"/>
      <c r="D90" s="566"/>
      <c r="E90" s="543"/>
      <c r="F90" s="543"/>
      <c r="G90" s="543"/>
      <c r="H90" s="1261"/>
      <c r="I90" s="1261"/>
      <c r="J90" s="1262"/>
      <c r="K90" s="686" t="s">
        <v>298</v>
      </c>
      <c r="L90" s="1263"/>
      <c r="M90" s="591"/>
      <c r="N90" s="1264">
        <f>VLOOKUP(I95,C102:O161,6)</f>
        <v>1469471.9061440425</v>
      </c>
      <c r="O90" s="543"/>
      <c r="P90" s="1262"/>
    </row>
    <row r="91" spans="1:16" ht="13.5" thickBot="1">
      <c r="B91" s="334"/>
      <c r="C91" s="687" t="s">
        <v>294</v>
      </c>
      <c r="D91" s="1434" t="s">
        <v>994</v>
      </c>
      <c r="E91" s="1434"/>
      <c r="F91" s="1434"/>
      <c r="G91" s="1434"/>
      <c r="H91" s="1257"/>
      <c r="I91" s="1257"/>
      <c r="J91" s="1258"/>
      <c r="K91" s="1265" t="s">
        <v>451</v>
      </c>
      <c r="L91" s="1266"/>
      <c r="M91" s="1266"/>
      <c r="N91" s="1267">
        <f>+N90-N89</f>
        <v>0</v>
      </c>
      <c r="O91" s="543"/>
      <c r="P91" s="1258"/>
    </row>
    <row r="92" spans="1:16">
      <c r="B92" s="334"/>
      <c r="C92" s="689"/>
      <c r="D92" s="690"/>
      <c r="E92" s="674"/>
      <c r="F92" s="674"/>
      <c r="G92" s="691"/>
      <c r="H92" s="1257"/>
      <c r="I92" s="1257"/>
      <c r="J92" s="1258"/>
      <c r="K92" s="1257"/>
      <c r="L92" s="1257"/>
      <c r="M92" s="1257"/>
      <c r="N92" s="1257"/>
      <c r="O92" s="543"/>
      <c r="P92" s="1258"/>
    </row>
    <row r="93" spans="1:16" ht="13.5" thickBot="1">
      <c r="B93" s="334"/>
      <c r="C93" s="692"/>
      <c r="D93" s="693"/>
      <c r="E93" s="691"/>
      <c r="F93" s="691"/>
      <c r="G93" s="691"/>
      <c r="H93" s="691"/>
      <c r="I93" s="691"/>
      <c r="J93" s="694"/>
      <c r="K93" s="691"/>
      <c r="L93" s="691"/>
      <c r="M93" s="691"/>
      <c r="N93" s="691"/>
      <c r="O93" s="579"/>
      <c r="P93" s="694"/>
    </row>
    <row r="94" spans="1:16" ht="13.5" thickBot="1">
      <c r="B94" s="695"/>
      <c r="C94" s="696" t="s">
        <v>295</v>
      </c>
      <c r="D94" s="697"/>
      <c r="E94" s="697"/>
      <c r="F94" s="697"/>
      <c r="G94" s="697"/>
      <c r="H94" s="697"/>
      <c r="I94" s="698"/>
      <c r="J94" s="699"/>
      <c r="K94" s="543"/>
      <c r="L94" s="543"/>
      <c r="M94" s="543"/>
      <c r="N94" s="543"/>
      <c r="O94" s="700"/>
      <c r="P94" s="701"/>
    </row>
    <row r="95" spans="1:16" ht="15">
      <c r="B95" s="695"/>
      <c r="C95" s="702" t="s">
        <v>273</v>
      </c>
      <c r="D95" s="1268">
        <v>13789272</v>
      </c>
      <c r="E95" s="658" t="s">
        <v>274</v>
      </c>
      <c r="G95" s="703"/>
      <c r="H95" s="703"/>
      <c r="I95" s="704">
        <v>2018</v>
      </c>
      <c r="J95" s="589"/>
      <c r="K95" s="1435" t="s">
        <v>460</v>
      </c>
      <c r="L95" s="1435"/>
      <c r="M95" s="1435"/>
      <c r="N95" s="1435"/>
      <c r="O95" s="1435"/>
      <c r="P95" s="589"/>
    </row>
    <row r="96" spans="1:16">
      <c r="B96" s="695"/>
      <c r="C96" s="702" t="s">
        <v>276</v>
      </c>
      <c r="D96" s="876">
        <v>2008</v>
      </c>
      <c r="E96" s="702" t="s">
        <v>277</v>
      </c>
      <c r="F96" s="703"/>
      <c r="H96" s="334"/>
      <c r="I96" s="879">
        <f>IF(G89="",0,$F$15)</f>
        <v>0</v>
      </c>
      <c r="J96" s="705"/>
      <c r="K96" s="1258" t="s">
        <v>460</v>
      </c>
      <c r="P96" s="705"/>
    </row>
    <row r="97" spans="1:16">
      <c r="B97" s="695"/>
      <c r="C97" s="702" t="s">
        <v>278</v>
      </c>
      <c r="D97" s="1269">
        <v>6</v>
      </c>
      <c r="E97" s="702" t="s">
        <v>279</v>
      </c>
      <c r="F97" s="703"/>
      <c r="H97" s="334"/>
      <c r="I97" s="706">
        <f>$G$70</f>
        <v>0.10790637951024619</v>
      </c>
      <c r="J97" s="707"/>
      <c r="K97" s="334" t="str">
        <f>"          INPUT PROJECTED ARR (WITH &amp; WITHOUT INCENTIVES) FROM EACH PRIOR YEAR"</f>
        <v xml:space="preserve">          INPUT PROJECTED ARR (WITH &amp; WITHOUT INCENTIVES) FROM EACH PRIOR YEAR</v>
      </c>
      <c r="P97" s="707"/>
    </row>
    <row r="98" spans="1:16">
      <c r="B98" s="695"/>
      <c r="C98" s="702" t="s">
        <v>280</v>
      </c>
      <c r="D98" s="708">
        <f>G$79</f>
        <v>59</v>
      </c>
      <c r="E98" s="702" t="s">
        <v>281</v>
      </c>
      <c r="F98" s="703"/>
      <c r="H98" s="334"/>
      <c r="I98" s="706">
        <f>IF(G89="",I97,$G$67)</f>
        <v>0.10790637951024619</v>
      </c>
      <c r="J98" s="709"/>
      <c r="K98" s="334" t="s">
        <v>358</v>
      </c>
      <c r="P98" s="709"/>
    </row>
    <row r="99" spans="1:16" ht="13.5" thickBot="1">
      <c r="B99" s="695"/>
      <c r="C99" s="702" t="s">
        <v>282</v>
      </c>
      <c r="D99" s="878" t="s">
        <v>995</v>
      </c>
      <c r="E99" s="710" t="s">
        <v>283</v>
      </c>
      <c r="F99" s="711"/>
      <c r="G99" s="712"/>
      <c r="H99" s="712"/>
      <c r="I99" s="1267">
        <f>IF(D95=0,0,D95/D98)</f>
        <v>233716.4745762712</v>
      </c>
      <c r="J99" s="1258"/>
      <c r="K99" s="1258" t="s">
        <v>364</v>
      </c>
      <c r="L99" s="1258"/>
      <c r="M99" s="1258"/>
      <c r="N99" s="1258"/>
      <c r="O99" s="591"/>
      <c r="P99" s="1258"/>
    </row>
    <row r="100" spans="1:16" ht="51">
      <c r="A100" s="530"/>
      <c r="B100" s="530"/>
      <c r="C100" s="713" t="s">
        <v>273</v>
      </c>
      <c r="D100" s="1270" t="s">
        <v>284</v>
      </c>
      <c r="E100" s="1271" t="s">
        <v>285</v>
      </c>
      <c r="F100" s="1270" t="s">
        <v>286</v>
      </c>
      <c r="G100" s="1271" t="s">
        <v>357</v>
      </c>
      <c r="H100" s="1272" t="s">
        <v>357</v>
      </c>
      <c r="I100" s="713" t="s">
        <v>296</v>
      </c>
      <c r="J100" s="717"/>
      <c r="K100" s="1271" t="s">
        <v>366</v>
      </c>
      <c r="L100" s="1273"/>
      <c r="M100" s="1271" t="s">
        <v>366</v>
      </c>
      <c r="N100" s="1273"/>
      <c r="O100" s="1273"/>
      <c r="P100" s="718"/>
    </row>
    <row r="101" spans="1:16" ht="13.5" thickBot="1">
      <c r="B101" s="334"/>
      <c r="C101" s="719" t="s">
        <v>178</v>
      </c>
      <c r="D101" s="720" t="s">
        <v>179</v>
      </c>
      <c r="E101" s="719" t="s">
        <v>37</v>
      </c>
      <c r="F101" s="720" t="s">
        <v>179</v>
      </c>
      <c r="G101" s="1274" t="s">
        <v>299</v>
      </c>
      <c r="H101" s="1275" t="s">
        <v>301</v>
      </c>
      <c r="I101" s="723" t="s">
        <v>390</v>
      </c>
      <c r="J101" s="724"/>
      <c r="K101" s="1274" t="s">
        <v>288</v>
      </c>
      <c r="L101" s="1276"/>
      <c r="M101" s="1274" t="s">
        <v>301</v>
      </c>
      <c r="N101" s="1276"/>
      <c r="O101" s="1276"/>
      <c r="P101" s="589"/>
    </row>
    <row r="102" spans="1:16">
      <c r="B102" s="334"/>
      <c r="C102" s="725">
        <f>IF(D96= "","-",D96)</f>
        <v>2008</v>
      </c>
      <c r="D102" s="676">
        <f>+D95</f>
        <v>13789272</v>
      </c>
      <c r="E102" s="1277">
        <f>+I99/12*(12-D97)</f>
        <v>116858.2372881356</v>
      </c>
      <c r="F102" s="676">
        <f t="shared" ref="F102:F161" si="0">+D102-E102</f>
        <v>13672413.762711864</v>
      </c>
      <c r="G102" s="1278">
        <f>+$I$97*((D102+F102)/2)+E102</f>
        <v>1598503.780239291</v>
      </c>
      <c r="H102" s="1279">
        <f>+$I$98*((D102+F102)/2)+E102</f>
        <v>1598503.780239291</v>
      </c>
      <c r="I102" s="729">
        <f>+H102-G102</f>
        <v>0</v>
      </c>
      <c r="J102" s="729"/>
      <c r="K102" s="880"/>
      <c r="L102" s="731"/>
      <c r="M102" s="880"/>
      <c r="N102" s="731"/>
      <c r="O102" s="731"/>
      <c r="P102" s="677"/>
    </row>
    <row r="103" spans="1:16">
      <c r="B103" s="334"/>
      <c r="C103" s="725">
        <f>IF(D96="","-",+C102+1)</f>
        <v>2009</v>
      </c>
      <c r="D103" s="676">
        <f t="shared" ref="D103:D161" si="1">F102</f>
        <v>13672413.762711864</v>
      </c>
      <c r="E103" s="732">
        <f>IF(D103&gt;$I$99,$I$99,D103)</f>
        <v>233716.4745762712</v>
      </c>
      <c r="F103" s="676">
        <f t="shared" si="0"/>
        <v>13438697.288135592</v>
      </c>
      <c r="G103" s="1277">
        <f t="shared" ref="G103:G161" si="2">+$I$97*((D103+F103)/2)+E103</f>
        <v>1696447.3935748585</v>
      </c>
      <c r="H103" s="1280">
        <f t="shared" ref="H103:H161" si="3">+$I$98*((D103+F103)/2)+E103</f>
        <v>1696447.3935748585</v>
      </c>
      <c r="I103" s="729">
        <f t="shared" ref="I103:I161" si="4">+H103-G103</f>
        <v>0</v>
      </c>
      <c r="J103" s="729"/>
      <c r="K103" s="881">
        <v>1124469.1016438</v>
      </c>
      <c r="L103" s="735"/>
      <c r="M103" s="881">
        <v>1124469.1016438</v>
      </c>
      <c r="N103" s="735"/>
      <c r="O103" s="735"/>
      <c r="P103" s="677"/>
    </row>
    <row r="104" spans="1:16">
      <c r="B104" s="334"/>
      <c r="C104" s="725">
        <f>IF(D96="","-",+C103+1)</f>
        <v>2010</v>
      </c>
      <c r="D104" s="676">
        <f t="shared" si="1"/>
        <v>13438697.288135592</v>
      </c>
      <c r="E104" s="732">
        <f t="shared" ref="E104:E161" si="5">IF(D104&gt;$I$99,$I$99,D104)</f>
        <v>233716.4745762712</v>
      </c>
      <c r="F104" s="676">
        <f t="shared" si="0"/>
        <v>13204980.81355932</v>
      </c>
      <c r="G104" s="1277">
        <f t="shared" si="2"/>
        <v>1671227.8949714345</v>
      </c>
      <c r="H104" s="1280">
        <f t="shared" si="3"/>
        <v>1671227.8949714345</v>
      </c>
      <c r="I104" s="729">
        <f t="shared" si="4"/>
        <v>0</v>
      </c>
      <c r="J104" s="729"/>
      <c r="K104" s="881">
        <v>2027403</v>
      </c>
      <c r="L104" s="735"/>
      <c r="M104" s="881">
        <v>2027403</v>
      </c>
      <c r="N104" s="735"/>
      <c r="O104" s="735"/>
      <c r="P104" s="677"/>
    </row>
    <row r="105" spans="1:16">
      <c r="B105" s="334"/>
      <c r="C105" s="725">
        <f>IF(D96="","-",+C104+1)</f>
        <v>2011</v>
      </c>
      <c r="D105" s="676">
        <f t="shared" si="1"/>
        <v>13204980.81355932</v>
      </c>
      <c r="E105" s="732">
        <f t="shared" si="5"/>
        <v>233716.4745762712</v>
      </c>
      <c r="F105" s="676">
        <f t="shared" si="0"/>
        <v>12971264.338983048</v>
      </c>
      <c r="G105" s="1277">
        <f t="shared" si="2"/>
        <v>1646008.3963680107</v>
      </c>
      <c r="H105" s="1280">
        <f t="shared" si="3"/>
        <v>1646008.3963680107</v>
      </c>
      <c r="I105" s="729">
        <f t="shared" si="4"/>
        <v>0</v>
      </c>
      <c r="J105" s="729"/>
      <c r="K105" s="881">
        <v>2050107</v>
      </c>
      <c r="L105" s="735"/>
      <c r="M105" s="881">
        <v>2050107</v>
      </c>
      <c r="N105" s="735"/>
      <c r="O105" s="735"/>
      <c r="P105" s="677"/>
    </row>
    <row r="106" spans="1:16">
      <c r="B106" s="334"/>
      <c r="C106" s="725">
        <f>IF(D96="","-",+C105+1)</f>
        <v>2012</v>
      </c>
      <c r="D106" s="676">
        <f t="shared" si="1"/>
        <v>12971264.338983048</v>
      </c>
      <c r="E106" s="732">
        <f t="shared" si="5"/>
        <v>233716.4745762712</v>
      </c>
      <c r="F106" s="676">
        <f t="shared" si="0"/>
        <v>12737547.864406776</v>
      </c>
      <c r="G106" s="1277">
        <f t="shared" si="2"/>
        <v>1620788.8977645866</v>
      </c>
      <c r="H106" s="1280">
        <f t="shared" si="3"/>
        <v>1620788.8977645866</v>
      </c>
      <c r="I106" s="729">
        <f t="shared" si="4"/>
        <v>0</v>
      </c>
      <c r="J106" s="729"/>
      <c r="K106" s="881">
        <v>1906118.0340840491</v>
      </c>
      <c r="L106" s="735"/>
      <c r="M106" s="881">
        <v>1906118.0340840491</v>
      </c>
      <c r="N106" s="735"/>
      <c r="O106" s="735"/>
      <c r="P106" s="677"/>
    </row>
    <row r="107" spans="1:16">
      <c r="B107" s="334"/>
      <c r="C107" s="725">
        <f>IF(D96="","-",+C106+1)</f>
        <v>2013</v>
      </c>
      <c r="D107" s="676">
        <f t="shared" si="1"/>
        <v>12737547.864406776</v>
      </c>
      <c r="E107" s="732">
        <f t="shared" si="5"/>
        <v>233716.4745762712</v>
      </c>
      <c r="F107" s="676">
        <f t="shared" si="0"/>
        <v>12503831.389830504</v>
      </c>
      <c r="G107" s="1277">
        <f t="shared" si="2"/>
        <v>1595569.3991611626</v>
      </c>
      <c r="H107" s="1280">
        <f t="shared" si="3"/>
        <v>1595569.3991611626</v>
      </c>
      <c r="I107" s="729">
        <f t="shared" si="4"/>
        <v>0</v>
      </c>
      <c r="J107" s="729"/>
      <c r="K107" s="881">
        <v>1915150</v>
      </c>
      <c r="L107" s="735"/>
      <c r="M107" s="881">
        <v>1915150</v>
      </c>
      <c r="N107" s="735"/>
      <c r="O107" s="735"/>
      <c r="P107" s="677"/>
    </row>
    <row r="108" spans="1:16">
      <c r="B108" s="334"/>
      <c r="C108" s="725">
        <f>IF(D96="","-",+C107+1)</f>
        <v>2014</v>
      </c>
      <c r="D108" s="676">
        <f>F107</f>
        <v>12503831.389830504</v>
      </c>
      <c r="E108" s="732">
        <f t="shared" si="5"/>
        <v>233716.4745762712</v>
      </c>
      <c r="F108" s="676">
        <f t="shared" si="0"/>
        <v>12270114.915254232</v>
      </c>
      <c r="G108" s="1277">
        <f t="shared" si="2"/>
        <v>1570349.9005577385</v>
      </c>
      <c r="H108" s="1280">
        <f t="shared" si="3"/>
        <v>1570349.9005577385</v>
      </c>
      <c r="I108" s="729">
        <f t="shared" si="4"/>
        <v>0</v>
      </c>
      <c r="J108" s="729"/>
      <c r="K108" s="881">
        <v>1778172</v>
      </c>
      <c r="L108" s="735"/>
      <c r="M108" s="881">
        <v>1778172</v>
      </c>
      <c r="N108" s="735"/>
      <c r="O108" s="735"/>
      <c r="P108" s="677"/>
    </row>
    <row r="109" spans="1:16">
      <c r="B109" s="334"/>
      <c r="C109" s="725">
        <f>IF(D96="","-",+C108+1)</f>
        <v>2015</v>
      </c>
      <c r="D109" s="676">
        <f t="shared" si="1"/>
        <v>12270114.915254232</v>
      </c>
      <c r="E109" s="732">
        <f t="shared" si="5"/>
        <v>233716.4745762712</v>
      </c>
      <c r="F109" s="676">
        <f t="shared" si="0"/>
        <v>12036398.440677959</v>
      </c>
      <c r="G109" s="1277">
        <f t="shared" si="2"/>
        <v>1545130.4019543144</v>
      </c>
      <c r="H109" s="1280">
        <f t="shared" si="3"/>
        <v>1545130.4019543144</v>
      </c>
      <c r="I109" s="729">
        <f t="shared" si="4"/>
        <v>0</v>
      </c>
      <c r="J109" s="729"/>
      <c r="K109" s="881">
        <v>1790894</v>
      </c>
      <c r="L109" s="735"/>
      <c r="M109" s="881">
        <v>1790894</v>
      </c>
      <c r="N109" s="735"/>
      <c r="O109" s="735"/>
      <c r="P109" s="677"/>
    </row>
    <row r="110" spans="1:16">
      <c r="B110" s="334"/>
      <c r="C110" s="725">
        <f>IF(D96="","-",+C109+1)</f>
        <v>2016</v>
      </c>
      <c r="D110" s="676">
        <f t="shared" si="1"/>
        <v>12036398.440677959</v>
      </c>
      <c r="E110" s="732">
        <f t="shared" si="5"/>
        <v>233716.4745762712</v>
      </c>
      <c r="F110" s="676">
        <f t="shared" si="0"/>
        <v>11802681.966101687</v>
      </c>
      <c r="G110" s="1277">
        <f t="shared" si="2"/>
        <v>1519910.9033508904</v>
      </c>
      <c r="H110" s="1280">
        <f t="shared" si="3"/>
        <v>1519910.9033508904</v>
      </c>
      <c r="I110" s="729">
        <f t="shared" si="4"/>
        <v>0</v>
      </c>
      <c r="J110" s="729"/>
      <c r="K110" s="881">
        <v>1719834</v>
      </c>
      <c r="L110" s="735"/>
      <c r="M110" s="881">
        <v>1719834</v>
      </c>
      <c r="N110" s="735"/>
      <c r="O110" s="735"/>
      <c r="P110" s="677"/>
    </row>
    <row r="111" spans="1:16">
      <c r="B111" s="334"/>
      <c r="C111" s="725">
        <f>IF(D96="","-",+C110+1)</f>
        <v>2017</v>
      </c>
      <c r="D111" s="676">
        <f t="shared" si="1"/>
        <v>11802681.966101687</v>
      </c>
      <c r="E111" s="732">
        <f t="shared" si="5"/>
        <v>233716.4745762712</v>
      </c>
      <c r="F111" s="676">
        <f t="shared" si="0"/>
        <v>11568965.491525415</v>
      </c>
      <c r="G111" s="1277">
        <f t="shared" si="2"/>
        <v>1494691.4047474666</v>
      </c>
      <c r="H111" s="1280">
        <f t="shared" si="3"/>
        <v>1494691.4047474666</v>
      </c>
      <c r="I111" s="729">
        <f t="shared" si="4"/>
        <v>0</v>
      </c>
      <c r="J111" s="729"/>
      <c r="K111" s="881">
        <v>1790894</v>
      </c>
      <c r="L111" s="735"/>
      <c r="M111" s="881">
        <v>1790894</v>
      </c>
      <c r="N111" s="735"/>
      <c r="O111" s="735"/>
      <c r="P111" s="677"/>
    </row>
    <row r="112" spans="1:16">
      <c r="B112" s="334"/>
      <c r="C112" s="1281">
        <f>IF(D96="","-",+C111+1)</f>
        <v>2018</v>
      </c>
      <c r="D112" s="1282">
        <f t="shared" si="1"/>
        <v>11568965.491525415</v>
      </c>
      <c r="E112" s="1283">
        <f t="shared" si="5"/>
        <v>233716.4745762712</v>
      </c>
      <c r="F112" s="1282">
        <f t="shared" si="0"/>
        <v>11335249.016949143</v>
      </c>
      <c r="G112" s="1284">
        <f t="shared" si="2"/>
        <v>1469471.9061440425</v>
      </c>
      <c r="H112" s="1285">
        <f t="shared" si="3"/>
        <v>1469471.9061440425</v>
      </c>
      <c r="I112" s="729">
        <f t="shared" si="4"/>
        <v>0</v>
      </c>
      <c r="J112" s="729"/>
      <c r="K112" s="881"/>
      <c r="L112" s="735"/>
      <c r="M112" s="881"/>
      <c r="N112" s="735"/>
      <c r="O112" s="735"/>
      <c r="P112" s="677"/>
    </row>
    <row r="113" spans="2:16">
      <c r="B113" s="334"/>
      <c r="C113" s="725">
        <f>IF(D96="","-",+C112+1)</f>
        <v>2019</v>
      </c>
      <c r="D113" s="676">
        <f t="shared" si="1"/>
        <v>11335249.016949143</v>
      </c>
      <c r="E113" s="732">
        <f t="shared" si="5"/>
        <v>233716.4745762712</v>
      </c>
      <c r="F113" s="676">
        <f t="shared" si="0"/>
        <v>11101532.542372871</v>
      </c>
      <c r="G113" s="1277">
        <f t="shared" si="2"/>
        <v>1444252.4075406184</v>
      </c>
      <c r="H113" s="1280">
        <f t="shared" si="3"/>
        <v>1444252.4075406184</v>
      </c>
      <c r="I113" s="729">
        <f t="shared" si="4"/>
        <v>0</v>
      </c>
      <c r="J113" s="729"/>
      <c r="K113" s="881"/>
      <c r="L113" s="735"/>
      <c r="M113" s="881"/>
      <c r="N113" s="735"/>
      <c r="O113" s="735"/>
      <c r="P113" s="677"/>
    </row>
    <row r="114" spans="2:16">
      <c r="B114" s="334"/>
      <c r="C114" s="725">
        <f>IF(D96="","-",+C113+1)</f>
        <v>2020</v>
      </c>
      <c r="D114" s="676">
        <f t="shared" si="1"/>
        <v>11101532.542372871</v>
      </c>
      <c r="E114" s="732">
        <f t="shared" si="5"/>
        <v>233716.4745762712</v>
      </c>
      <c r="F114" s="676">
        <f t="shared" si="0"/>
        <v>10867816.067796599</v>
      </c>
      <c r="G114" s="1277">
        <f t="shared" si="2"/>
        <v>1419032.9089371944</v>
      </c>
      <c r="H114" s="1280">
        <f t="shared" si="3"/>
        <v>1419032.9089371944</v>
      </c>
      <c r="I114" s="729">
        <f t="shared" si="4"/>
        <v>0</v>
      </c>
      <c r="J114" s="729"/>
      <c r="K114" s="881"/>
      <c r="L114" s="735"/>
      <c r="M114" s="881"/>
      <c r="N114" s="736"/>
      <c r="O114" s="735"/>
      <c r="P114" s="677"/>
    </row>
    <row r="115" spans="2:16">
      <c r="B115" s="334"/>
      <c r="C115" s="725">
        <f>IF(D96="","-",+C114+1)</f>
        <v>2021</v>
      </c>
      <c r="D115" s="676">
        <f t="shared" si="1"/>
        <v>10867816.067796599</v>
      </c>
      <c r="E115" s="732">
        <f t="shared" si="5"/>
        <v>233716.4745762712</v>
      </c>
      <c r="F115" s="676">
        <f t="shared" si="0"/>
        <v>10634099.593220327</v>
      </c>
      <c r="G115" s="1277">
        <f t="shared" si="2"/>
        <v>1393813.4103337703</v>
      </c>
      <c r="H115" s="1280">
        <f t="shared" si="3"/>
        <v>1393813.4103337703</v>
      </c>
      <c r="I115" s="729">
        <f t="shared" si="4"/>
        <v>0</v>
      </c>
      <c r="J115" s="729"/>
      <c r="K115" s="881"/>
      <c r="L115" s="735"/>
      <c r="M115" s="881"/>
      <c r="N115" s="735"/>
      <c r="O115" s="735"/>
      <c r="P115" s="677"/>
    </row>
    <row r="116" spans="2:16">
      <c r="B116" s="334"/>
      <c r="C116" s="725">
        <f>IF(D96="","-",+C115+1)</f>
        <v>2022</v>
      </c>
      <c r="D116" s="676">
        <f t="shared" si="1"/>
        <v>10634099.593220327</v>
      </c>
      <c r="E116" s="732">
        <f t="shared" si="5"/>
        <v>233716.4745762712</v>
      </c>
      <c r="F116" s="676">
        <f t="shared" si="0"/>
        <v>10400383.118644055</v>
      </c>
      <c r="G116" s="1277">
        <f t="shared" si="2"/>
        <v>1368593.9117303463</v>
      </c>
      <c r="H116" s="1280">
        <f t="shared" si="3"/>
        <v>1368593.9117303463</v>
      </c>
      <c r="I116" s="729">
        <f t="shared" si="4"/>
        <v>0</v>
      </c>
      <c r="J116" s="729"/>
      <c r="K116" s="881"/>
      <c r="L116" s="735"/>
      <c r="M116" s="881"/>
      <c r="N116" s="735"/>
      <c r="O116" s="735"/>
      <c r="P116" s="677"/>
    </row>
    <row r="117" spans="2:16">
      <c r="B117" s="334"/>
      <c r="C117" s="725">
        <f>IF(D96="","-",+C116+1)</f>
        <v>2023</v>
      </c>
      <c r="D117" s="676">
        <f t="shared" si="1"/>
        <v>10400383.118644055</v>
      </c>
      <c r="E117" s="732">
        <f t="shared" si="5"/>
        <v>233716.4745762712</v>
      </c>
      <c r="F117" s="676">
        <f t="shared" si="0"/>
        <v>10166666.644067783</v>
      </c>
      <c r="G117" s="1277">
        <f t="shared" si="2"/>
        <v>1343374.4131269224</v>
      </c>
      <c r="H117" s="1280">
        <f t="shared" si="3"/>
        <v>1343374.4131269224</v>
      </c>
      <c r="I117" s="729">
        <f t="shared" si="4"/>
        <v>0</v>
      </c>
      <c r="J117" s="729"/>
      <c r="K117" s="881"/>
      <c r="L117" s="735"/>
      <c r="M117" s="881"/>
      <c r="N117" s="735"/>
      <c r="O117" s="735"/>
      <c r="P117" s="677"/>
    </row>
    <row r="118" spans="2:16">
      <c r="B118" s="334"/>
      <c r="C118" s="725">
        <f>IF(D96="","-",+C117+1)</f>
        <v>2024</v>
      </c>
      <c r="D118" s="676">
        <f t="shared" si="1"/>
        <v>10166666.644067783</v>
      </c>
      <c r="E118" s="732">
        <f t="shared" si="5"/>
        <v>233716.4745762712</v>
      </c>
      <c r="F118" s="676">
        <f t="shared" si="0"/>
        <v>9932950.1694915108</v>
      </c>
      <c r="G118" s="1277">
        <f t="shared" si="2"/>
        <v>1318154.9145234984</v>
      </c>
      <c r="H118" s="1280">
        <f t="shared" si="3"/>
        <v>1318154.9145234984</v>
      </c>
      <c r="I118" s="729">
        <f t="shared" si="4"/>
        <v>0</v>
      </c>
      <c r="J118" s="729"/>
      <c r="K118" s="881"/>
      <c r="L118" s="735"/>
      <c r="M118" s="881"/>
      <c r="N118" s="735"/>
      <c r="O118" s="735"/>
      <c r="P118" s="677"/>
    </row>
    <row r="119" spans="2:16">
      <c r="B119" s="334"/>
      <c r="C119" s="725">
        <f>IF(D96="","-",+C118+1)</f>
        <v>2025</v>
      </c>
      <c r="D119" s="676">
        <f t="shared" si="1"/>
        <v>9932950.1694915108</v>
      </c>
      <c r="E119" s="732">
        <f t="shared" si="5"/>
        <v>233716.4745762712</v>
      </c>
      <c r="F119" s="676">
        <f t="shared" si="0"/>
        <v>9699233.6949152388</v>
      </c>
      <c r="G119" s="1277">
        <f t="shared" si="2"/>
        <v>1292935.4159200743</v>
      </c>
      <c r="H119" s="1280">
        <f t="shared" si="3"/>
        <v>1292935.4159200743</v>
      </c>
      <c r="I119" s="729">
        <f t="shared" si="4"/>
        <v>0</v>
      </c>
      <c r="J119" s="729"/>
      <c r="K119" s="881"/>
      <c r="L119" s="735"/>
      <c r="M119" s="881"/>
      <c r="N119" s="735"/>
      <c r="O119" s="735"/>
      <c r="P119" s="677"/>
    </row>
    <row r="120" spans="2:16">
      <c r="B120" s="334"/>
      <c r="C120" s="725">
        <f>IF(D96="","-",+C119+1)</f>
        <v>2026</v>
      </c>
      <c r="D120" s="676">
        <f t="shared" si="1"/>
        <v>9699233.6949152388</v>
      </c>
      <c r="E120" s="732">
        <f t="shared" si="5"/>
        <v>233716.4745762712</v>
      </c>
      <c r="F120" s="676">
        <f t="shared" si="0"/>
        <v>9465517.2203389667</v>
      </c>
      <c r="G120" s="1277">
        <f t="shared" si="2"/>
        <v>1267715.9173166503</v>
      </c>
      <c r="H120" s="1280">
        <f t="shared" si="3"/>
        <v>1267715.9173166503</v>
      </c>
      <c r="I120" s="729">
        <f t="shared" si="4"/>
        <v>0</v>
      </c>
      <c r="J120" s="729"/>
      <c r="K120" s="881"/>
      <c r="L120" s="735"/>
      <c r="M120" s="881"/>
      <c r="N120" s="735"/>
      <c r="O120" s="735"/>
      <c r="P120" s="677"/>
    </row>
    <row r="121" spans="2:16">
      <c r="B121" s="334"/>
      <c r="C121" s="725">
        <f>IF(D96="","-",+C120+1)</f>
        <v>2027</v>
      </c>
      <c r="D121" s="676">
        <f t="shared" si="1"/>
        <v>9465517.2203389667</v>
      </c>
      <c r="E121" s="732">
        <f t="shared" si="5"/>
        <v>233716.4745762712</v>
      </c>
      <c r="F121" s="676">
        <f t="shared" si="0"/>
        <v>9231800.7457626946</v>
      </c>
      <c r="G121" s="1277">
        <f t="shared" si="2"/>
        <v>1242496.4187132262</v>
      </c>
      <c r="H121" s="1280">
        <f t="shared" si="3"/>
        <v>1242496.4187132262</v>
      </c>
      <c r="I121" s="729">
        <f t="shared" si="4"/>
        <v>0</v>
      </c>
      <c r="J121" s="729"/>
      <c r="K121" s="881"/>
      <c r="L121" s="735"/>
      <c r="M121" s="881"/>
      <c r="N121" s="735"/>
      <c r="O121" s="735"/>
      <c r="P121" s="677"/>
    </row>
    <row r="122" spans="2:16">
      <c r="B122" s="334"/>
      <c r="C122" s="725">
        <f>IF(D96="","-",+C121+1)</f>
        <v>2028</v>
      </c>
      <c r="D122" s="676">
        <f t="shared" si="1"/>
        <v>9231800.7457626946</v>
      </c>
      <c r="E122" s="732">
        <f t="shared" si="5"/>
        <v>233716.4745762712</v>
      </c>
      <c r="F122" s="676">
        <f t="shared" si="0"/>
        <v>8998084.2711864226</v>
      </c>
      <c r="G122" s="1277">
        <f t="shared" si="2"/>
        <v>1217276.9201098024</v>
      </c>
      <c r="H122" s="1280">
        <f t="shared" si="3"/>
        <v>1217276.9201098024</v>
      </c>
      <c r="I122" s="729">
        <f t="shared" si="4"/>
        <v>0</v>
      </c>
      <c r="J122" s="729"/>
      <c r="K122" s="881"/>
      <c r="L122" s="735"/>
      <c r="M122" s="881"/>
      <c r="N122" s="735"/>
      <c r="O122" s="735"/>
      <c r="P122" s="677"/>
    </row>
    <row r="123" spans="2:16">
      <c r="B123" s="334"/>
      <c r="C123" s="725">
        <f>IF(D96="","-",+C122+1)</f>
        <v>2029</v>
      </c>
      <c r="D123" s="676">
        <f t="shared" si="1"/>
        <v>8998084.2711864226</v>
      </c>
      <c r="E123" s="732">
        <f t="shared" si="5"/>
        <v>233716.4745762712</v>
      </c>
      <c r="F123" s="676">
        <f t="shared" si="0"/>
        <v>8764367.7966101505</v>
      </c>
      <c r="G123" s="1277">
        <f t="shared" si="2"/>
        <v>1192057.4215063783</v>
      </c>
      <c r="H123" s="1280">
        <f t="shared" si="3"/>
        <v>1192057.4215063783</v>
      </c>
      <c r="I123" s="729">
        <f t="shared" si="4"/>
        <v>0</v>
      </c>
      <c r="J123" s="729"/>
      <c r="K123" s="881"/>
      <c r="L123" s="735"/>
      <c r="M123" s="881"/>
      <c r="N123" s="735"/>
      <c r="O123" s="735"/>
      <c r="P123" s="677"/>
    </row>
    <row r="124" spans="2:16">
      <c r="B124" s="334"/>
      <c r="C124" s="725">
        <f>IF(D96="","-",+C123+1)</f>
        <v>2030</v>
      </c>
      <c r="D124" s="676">
        <f t="shared" si="1"/>
        <v>8764367.7966101505</v>
      </c>
      <c r="E124" s="732">
        <f t="shared" si="5"/>
        <v>233716.4745762712</v>
      </c>
      <c r="F124" s="676">
        <f t="shared" si="0"/>
        <v>8530651.3220338784</v>
      </c>
      <c r="G124" s="1277">
        <f t="shared" si="2"/>
        <v>1166837.9229029543</v>
      </c>
      <c r="H124" s="1280">
        <f t="shared" si="3"/>
        <v>1166837.9229029543</v>
      </c>
      <c r="I124" s="729">
        <f t="shared" si="4"/>
        <v>0</v>
      </c>
      <c r="J124" s="729"/>
      <c r="K124" s="881"/>
      <c r="L124" s="735"/>
      <c r="M124" s="881"/>
      <c r="N124" s="735"/>
      <c r="O124" s="735"/>
      <c r="P124" s="677"/>
    </row>
    <row r="125" spans="2:16">
      <c r="B125" s="334"/>
      <c r="C125" s="725">
        <f>IF(D96="","-",+C124+1)</f>
        <v>2031</v>
      </c>
      <c r="D125" s="676">
        <f t="shared" si="1"/>
        <v>8530651.3220338784</v>
      </c>
      <c r="E125" s="732">
        <f t="shared" si="5"/>
        <v>233716.4745762712</v>
      </c>
      <c r="F125" s="676">
        <f t="shared" si="0"/>
        <v>8296934.8474576073</v>
      </c>
      <c r="G125" s="1277">
        <f t="shared" si="2"/>
        <v>1141618.4242995302</v>
      </c>
      <c r="H125" s="1280">
        <f t="shared" si="3"/>
        <v>1141618.4242995302</v>
      </c>
      <c r="I125" s="729">
        <f t="shared" si="4"/>
        <v>0</v>
      </c>
      <c r="J125" s="729"/>
      <c r="K125" s="881"/>
      <c r="L125" s="735"/>
      <c r="M125" s="881"/>
      <c r="N125" s="735"/>
      <c r="O125" s="735"/>
      <c r="P125" s="677"/>
    </row>
    <row r="126" spans="2:16">
      <c r="B126" s="334"/>
      <c r="C126" s="725">
        <f>IF(D96="","-",+C125+1)</f>
        <v>2032</v>
      </c>
      <c r="D126" s="676">
        <f t="shared" si="1"/>
        <v>8296934.8474576073</v>
      </c>
      <c r="E126" s="732">
        <f t="shared" si="5"/>
        <v>233716.4745762712</v>
      </c>
      <c r="F126" s="676">
        <f t="shared" si="0"/>
        <v>8063218.3728813361</v>
      </c>
      <c r="G126" s="1277">
        <f t="shared" si="2"/>
        <v>1116398.9256961064</v>
      </c>
      <c r="H126" s="1280">
        <f t="shared" si="3"/>
        <v>1116398.9256961064</v>
      </c>
      <c r="I126" s="729">
        <f t="shared" si="4"/>
        <v>0</v>
      </c>
      <c r="J126" s="729"/>
      <c r="K126" s="881"/>
      <c r="L126" s="735"/>
      <c r="M126" s="881"/>
      <c r="N126" s="735"/>
      <c r="O126" s="735"/>
      <c r="P126" s="677"/>
    </row>
    <row r="127" spans="2:16">
      <c r="B127" s="334"/>
      <c r="C127" s="725">
        <f>IF(D96="","-",+C126+1)</f>
        <v>2033</v>
      </c>
      <c r="D127" s="676">
        <f t="shared" si="1"/>
        <v>8063218.3728813361</v>
      </c>
      <c r="E127" s="732">
        <f t="shared" si="5"/>
        <v>233716.4745762712</v>
      </c>
      <c r="F127" s="676">
        <f t="shared" si="0"/>
        <v>7829501.898305065</v>
      </c>
      <c r="G127" s="1277">
        <f t="shared" si="2"/>
        <v>1091179.4270926823</v>
      </c>
      <c r="H127" s="1280">
        <f t="shared" si="3"/>
        <v>1091179.4270926823</v>
      </c>
      <c r="I127" s="729">
        <f t="shared" si="4"/>
        <v>0</v>
      </c>
      <c r="J127" s="729"/>
      <c r="K127" s="881"/>
      <c r="L127" s="735"/>
      <c r="M127" s="881"/>
      <c r="N127" s="735"/>
      <c r="O127" s="735"/>
      <c r="P127" s="677"/>
    </row>
    <row r="128" spans="2:16">
      <c r="B128" s="334"/>
      <c r="C128" s="725">
        <f>IF(D96="","-",+C127+1)</f>
        <v>2034</v>
      </c>
      <c r="D128" s="676">
        <f t="shared" si="1"/>
        <v>7829501.898305065</v>
      </c>
      <c r="E128" s="732">
        <f t="shared" si="5"/>
        <v>233716.4745762712</v>
      </c>
      <c r="F128" s="676">
        <f t="shared" si="0"/>
        <v>7595785.4237287939</v>
      </c>
      <c r="G128" s="1277">
        <f t="shared" si="2"/>
        <v>1065959.9284892585</v>
      </c>
      <c r="H128" s="1280">
        <f t="shared" si="3"/>
        <v>1065959.9284892585</v>
      </c>
      <c r="I128" s="729">
        <f t="shared" si="4"/>
        <v>0</v>
      </c>
      <c r="J128" s="729"/>
      <c r="K128" s="881"/>
      <c r="L128" s="735"/>
      <c r="M128" s="881"/>
      <c r="N128" s="735"/>
      <c r="O128" s="735"/>
      <c r="P128" s="677"/>
    </row>
    <row r="129" spans="2:16">
      <c r="B129" s="334"/>
      <c r="C129" s="725">
        <f>IF(D96="","-",+C128+1)</f>
        <v>2035</v>
      </c>
      <c r="D129" s="676">
        <f t="shared" si="1"/>
        <v>7595785.4237287939</v>
      </c>
      <c r="E129" s="732">
        <f t="shared" si="5"/>
        <v>233716.4745762712</v>
      </c>
      <c r="F129" s="676">
        <f t="shared" si="0"/>
        <v>7362068.9491525227</v>
      </c>
      <c r="G129" s="1277">
        <f t="shared" si="2"/>
        <v>1040740.4298858347</v>
      </c>
      <c r="H129" s="1280">
        <f t="shared" si="3"/>
        <v>1040740.4298858347</v>
      </c>
      <c r="I129" s="729">
        <f t="shared" si="4"/>
        <v>0</v>
      </c>
      <c r="J129" s="729"/>
      <c r="K129" s="881"/>
      <c r="L129" s="735"/>
      <c r="M129" s="881"/>
      <c r="N129" s="735"/>
      <c r="O129" s="735"/>
      <c r="P129" s="677"/>
    </row>
    <row r="130" spans="2:16">
      <c r="B130" s="334"/>
      <c r="C130" s="725">
        <f>IF(D96="","-",+C129+1)</f>
        <v>2036</v>
      </c>
      <c r="D130" s="676">
        <f t="shared" si="1"/>
        <v>7362068.9491525227</v>
      </c>
      <c r="E130" s="732">
        <f t="shared" si="5"/>
        <v>233716.4745762712</v>
      </c>
      <c r="F130" s="676">
        <f t="shared" si="0"/>
        <v>7128352.4745762516</v>
      </c>
      <c r="G130" s="1286">
        <f t="shared" si="2"/>
        <v>1015520.9312824109</v>
      </c>
      <c r="H130" s="1280">
        <f t="shared" si="3"/>
        <v>1015520.9312824109</v>
      </c>
      <c r="I130" s="729">
        <f t="shared" si="4"/>
        <v>0</v>
      </c>
      <c r="J130" s="729"/>
      <c r="K130" s="881"/>
      <c r="L130" s="735"/>
      <c r="M130" s="881"/>
      <c r="N130" s="735"/>
      <c r="O130" s="735"/>
      <c r="P130" s="677"/>
    </row>
    <row r="131" spans="2:16">
      <c r="B131" s="334"/>
      <c r="C131" s="725">
        <f>IF(D96="","-",+C130+1)</f>
        <v>2037</v>
      </c>
      <c r="D131" s="676">
        <f t="shared" si="1"/>
        <v>7128352.4745762516</v>
      </c>
      <c r="E131" s="732">
        <f t="shared" si="5"/>
        <v>233716.4745762712</v>
      </c>
      <c r="F131" s="676">
        <f t="shared" si="0"/>
        <v>6894635.9999999804</v>
      </c>
      <c r="G131" s="1277">
        <f t="shared" si="2"/>
        <v>990301.43267898681</v>
      </c>
      <c r="H131" s="1280">
        <f t="shared" si="3"/>
        <v>990301.43267898681</v>
      </c>
      <c r="I131" s="729">
        <f t="shared" si="4"/>
        <v>0</v>
      </c>
      <c r="J131" s="729"/>
      <c r="K131" s="881"/>
      <c r="L131" s="735"/>
      <c r="M131" s="881"/>
      <c r="N131" s="735"/>
      <c r="O131" s="735"/>
      <c r="P131" s="677"/>
    </row>
    <row r="132" spans="2:16">
      <c r="B132" s="334"/>
      <c r="C132" s="725">
        <f>IF(D96="","-",+C131+1)</f>
        <v>2038</v>
      </c>
      <c r="D132" s="676">
        <f t="shared" si="1"/>
        <v>6894635.9999999804</v>
      </c>
      <c r="E132" s="732">
        <f t="shared" si="5"/>
        <v>233716.4745762712</v>
      </c>
      <c r="F132" s="676">
        <f t="shared" si="0"/>
        <v>6660919.5254237093</v>
      </c>
      <c r="G132" s="1277">
        <f t="shared" si="2"/>
        <v>965081.93407556298</v>
      </c>
      <c r="H132" s="1280">
        <f t="shared" si="3"/>
        <v>965081.93407556298</v>
      </c>
      <c r="I132" s="729">
        <f t="shared" si="4"/>
        <v>0</v>
      </c>
      <c r="J132" s="729"/>
      <c r="K132" s="881"/>
      <c r="L132" s="735"/>
      <c r="M132" s="881"/>
      <c r="N132" s="735"/>
      <c r="O132" s="735"/>
      <c r="P132" s="677"/>
    </row>
    <row r="133" spans="2:16">
      <c r="B133" s="334"/>
      <c r="C133" s="725">
        <f>IF(D96="","-",+C132+1)</f>
        <v>2039</v>
      </c>
      <c r="D133" s="676">
        <f t="shared" si="1"/>
        <v>6660919.5254237093</v>
      </c>
      <c r="E133" s="732">
        <f t="shared" si="5"/>
        <v>233716.4745762712</v>
      </c>
      <c r="F133" s="676">
        <f t="shared" si="0"/>
        <v>6427203.0508474382</v>
      </c>
      <c r="G133" s="1277">
        <f t="shared" si="2"/>
        <v>939862.43547213892</v>
      </c>
      <c r="H133" s="1280">
        <f t="shared" si="3"/>
        <v>939862.43547213892</v>
      </c>
      <c r="I133" s="729">
        <f t="shared" si="4"/>
        <v>0</v>
      </c>
      <c r="J133" s="729"/>
      <c r="K133" s="881"/>
      <c r="L133" s="735"/>
      <c r="M133" s="881"/>
      <c r="N133" s="735"/>
      <c r="O133" s="735"/>
      <c r="P133" s="677"/>
    </row>
    <row r="134" spans="2:16">
      <c r="B134" s="334"/>
      <c r="C134" s="725">
        <f>IF(D96="","-",+C133+1)</f>
        <v>2040</v>
      </c>
      <c r="D134" s="676">
        <f t="shared" si="1"/>
        <v>6427203.0508474382</v>
      </c>
      <c r="E134" s="732">
        <f t="shared" si="5"/>
        <v>233716.4745762712</v>
      </c>
      <c r="F134" s="676">
        <f t="shared" si="0"/>
        <v>6193486.576271167</v>
      </c>
      <c r="G134" s="1277">
        <f t="shared" si="2"/>
        <v>914642.9368687151</v>
      </c>
      <c r="H134" s="1280">
        <f t="shared" si="3"/>
        <v>914642.9368687151</v>
      </c>
      <c r="I134" s="729">
        <f t="shared" si="4"/>
        <v>0</v>
      </c>
      <c r="J134" s="729"/>
      <c r="K134" s="881"/>
      <c r="L134" s="735"/>
      <c r="M134" s="881"/>
      <c r="N134" s="735"/>
      <c r="O134" s="735"/>
      <c r="P134" s="677"/>
    </row>
    <row r="135" spans="2:16">
      <c r="B135" s="334"/>
      <c r="C135" s="725">
        <f>IF(D96="","-",+C134+1)</f>
        <v>2041</v>
      </c>
      <c r="D135" s="676">
        <f t="shared" si="1"/>
        <v>6193486.576271167</v>
      </c>
      <c r="E135" s="732">
        <f t="shared" si="5"/>
        <v>233716.4745762712</v>
      </c>
      <c r="F135" s="676">
        <f t="shared" si="0"/>
        <v>5959770.1016948959</v>
      </c>
      <c r="G135" s="1277">
        <f t="shared" si="2"/>
        <v>889423.43826529104</v>
      </c>
      <c r="H135" s="1280">
        <f t="shared" si="3"/>
        <v>889423.43826529104</v>
      </c>
      <c r="I135" s="729">
        <f t="shared" si="4"/>
        <v>0</v>
      </c>
      <c r="J135" s="729"/>
      <c r="K135" s="881"/>
      <c r="L135" s="735"/>
      <c r="M135" s="881"/>
      <c r="N135" s="735"/>
      <c r="O135" s="735"/>
      <c r="P135" s="677"/>
    </row>
    <row r="136" spans="2:16">
      <c r="B136" s="334"/>
      <c r="C136" s="725">
        <f>IF(D96="","-",+C135+1)</f>
        <v>2042</v>
      </c>
      <c r="D136" s="676">
        <f t="shared" si="1"/>
        <v>5959770.1016948959</v>
      </c>
      <c r="E136" s="732">
        <f t="shared" si="5"/>
        <v>233716.4745762712</v>
      </c>
      <c r="F136" s="676">
        <f t="shared" si="0"/>
        <v>5726053.6271186247</v>
      </c>
      <c r="G136" s="1277">
        <f t="shared" si="2"/>
        <v>864203.93966186722</v>
      </c>
      <c r="H136" s="1280">
        <f t="shared" si="3"/>
        <v>864203.93966186722</v>
      </c>
      <c r="I136" s="729">
        <f t="shared" si="4"/>
        <v>0</v>
      </c>
      <c r="J136" s="729"/>
      <c r="K136" s="881"/>
      <c r="L136" s="735"/>
      <c r="M136" s="881"/>
      <c r="N136" s="735"/>
      <c r="O136" s="735"/>
      <c r="P136" s="677"/>
    </row>
    <row r="137" spans="2:16">
      <c r="B137" s="334"/>
      <c r="C137" s="725">
        <f>IF(D96="","-",+C136+1)</f>
        <v>2043</v>
      </c>
      <c r="D137" s="676">
        <f t="shared" si="1"/>
        <v>5726053.6271186247</v>
      </c>
      <c r="E137" s="732">
        <f t="shared" si="5"/>
        <v>233716.4745762712</v>
      </c>
      <c r="F137" s="676">
        <f t="shared" si="0"/>
        <v>5492337.1525423536</v>
      </c>
      <c r="G137" s="1277">
        <f t="shared" si="2"/>
        <v>838984.44105844316</v>
      </c>
      <c r="H137" s="1280">
        <f t="shared" si="3"/>
        <v>838984.44105844316</v>
      </c>
      <c r="I137" s="729">
        <f t="shared" si="4"/>
        <v>0</v>
      </c>
      <c r="J137" s="729"/>
      <c r="K137" s="881"/>
      <c r="L137" s="735"/>
      <c r="M137" s="881"/>
      <c r="N137" s="735"/>
      <c r="O137" s="735"/>
      <c r="P137" s="677"/>
    </row>
    <row r="138" spans="2:16">
      <c r="B138" s="334"/>
      <c r="C138" s="725">
        <f>IF(D96="","-",+C137+1)</f>
        <v>2044</v>
      </c>
      <c r="D138" s="676">
        <f t="shared" si="1"/>
        <v>5492337.1525423536</v>
      </c>
      <c r="E138" s="732">
        <f t="shared" si="5"/>
        <v>233716.4745762712</v>
      </c>
      <c r="F138" s="676">
        <f t="shared" si="0"/>
        <v>5258620.6779660825</v>
      </c>
      <c r="G138" s="1277">
        <f t="shared" si="2"/>
        <v>813764.94245501934</v>
      </c>
      <c r="H138" s="1280">
        <f t="shared" si="3"/>
        <v>813764.94245501934</v>
      </c>
      <c r="I138" s="729">
        <f t="shared" si="4"/>
        <v>0</v>
      </c>
      <c r="J138" s="729"/>
      <c r="K138" s="881"/>
      <c r="L138" s="735"/>
      <c r="M138" s="881"/>
      <c r="N138" s="735"/>
      <c r="O138" s="735"/>
      <c r="P138" s="677"/>
    </row>
    <row r="139" spans="2:16">
      <c r="B139" s="334"/>
      <c r="C139" s="725">
        <f>IF(D96="","-",+C138+1)</f>
        <v>2045</v>
      </c>
      <c r="D139" s="676">
        <f t="shared" si="1"/>
        <v>5258620.6779660825</v>
      </c>
      <c r="E139" s="732">
        <f t="shared" si="5"/>
        <v>233716.4745762712</v>
      </c>
      <c r="F139" s="676">
        <f t="shared" si="0"/>
        <v>5024904.2033898113</v>
      </c>
      <c r="G139" s="1277">
        <f t="shared" si="2"/>
        <v>788545.44385159528</v>
      </c>
      <c r="H139" s="1280">
        <f t="shared" si="3"/>
        <v>788545.44385159528</v>
      </c>
      <c r="I139" s="729">
        <f t="shared" si="4"/>
        <v>0</v>
      </c>
      <c r="J139" s="729"/>
      <c r="K139" s="881"/>
      <c r="L139" s="735"/>
      <c r="M139" s="881"/>
      <c r="N139" s="735"/>
      <c r="O139" s="735"/>
      <c r="P139" s="677"/>
    </row>
    <row r="140" spans="2:16">
      <c r="B140" s="334"/>
      <c r="C140" s="725">
        <f>IF(D96="","-",+C139+1)</f>
        <v>2046</v>
      </c>
      <c r="D140" s="676">
        <f t="shared" si="1"/>
        <v>5024904.2033898113</v>
      </c>
      <c r="E140" s="732">
        <f t="shared" si="5"/>
        <v>233716.4745762712</v>
      </c>
      <c r="F140" s="676">
        <f t="shared" si="0"/>
        <v>4791187.7288135402</v>
      </c>
      <c r="G140" s="1277">
        <f t="shared" si="2"/>
        <v>763325.94524817169</v>
      </c>
      <c r="H140" s="1280">
        <f t="shared" si="3"/>
        <v>763325.94524817169</v>
      </c>
      <c r="I140" s="729">
        <f t="shared" si="4"/>
        <v>0</v>
      </c>
      <c r="J140" s="729"/>
      <c r="K140" s="881"/>
      <c r="L140" s="735"/>
      <c r="M140" s="881"/>
      <c r="N140" s="735"/>
      <c r="O140" s="735"/>
      <c r="P140" s="677"/>
    </row>
    <row r="141" spans="2:16">
      <c r="B141" s="334"/>
      <c r="C141" s="725">
        <f>IF(D96="","-",+C140+1)</f>
        <v>2047</v>
      </c>
      <c r="D141" s="676">
        <f t="shared" si="1"/>
        <v>4791187.7288135402</v>
      </c>
      <c r="E141" s="732">
        <f t="shared" si="5"/>
        <v>233716.4745762712</v>
      </c>
      <c r="F141" s="676">
        <f t="shared" si="0"/>
        <v>4557471.2542372691</v>
      </c>
      <c r="G141" s="1277">
        <f t="shared" si="2"/>
        <v>738106.44664474763</v>
      </c>
      <c r="H141" s="1280">
        <f t="shared" si="3"/>
        <v>738106.44664474763</v>
      </c>
      <c r="I141" s="729">
        <f t="shared" si="4"/>
        <v>0</v>
      </c>
      <c r="J141" s="729"/>
      <c r="K141" s="881"/>
      <c r="L141" s="735"/>
      <c r="M141" s="881"/>
      <c r="N141" s="735"/>
      <c r="O141" s="735"/>
      <c r="P141" s="677"/>
    </row>
    <row r="142" spans="2:16">
      <c r="B142" s="334"/>
      <c r="C142" s="725">
        <f>IF(D96="","-",+C141+1)</f>
        <v>2048</v>
      </c>
      <c r="D142" s="676">
        <f t="shared" si="1"/>
        <v>4557471.2542372691</v>
      </c>
      <c r="E142" s="732">
        <f t="shared" si="5"/>
        <v>233716.4745762712</v>
      </c>
      <c r="F142" s="676">
        <f t="shared" si="0"/>
        <v>4323754.7796609979</v>
      </c>
      <c r="G142" s="1277">
        <f t="shared" si="2"/>
        <v>712886.94804132381</v>
      </c>
      <c r="H142" s="1280">
        <f t="shared" si="3"/>
        <v>712886.94804132381</v>
      </c>
      <c r="I142" s="729">
        <f t="shared" si="4"/>
        <v>0</v>
      </c>
      <c r="J142" s="729"/>
      <c r="K142" s="881"/>
      <c r="L142" s="735"/>
      <c r="M142" s="881"/>
      <c r="N142" s="735"/>
      <c r="O142" s="735"/>
      <c r="P142" s="677"/>
    </row>
    <row r="143" spans="2:16">
      <c r="B143" s="334"/>
      <c r="C143" s="725">
        <f>IF(D96="","-",+C142+1)</f>
        <v>2049</v>
      </c>
      <c r="D143" s="676">
        <f t="shared" si="1"/>
        <v>4323754.7796609979</v>
      </c>
      <c r="E143" s="732">
        <f t="shared" si="5"/>
        <v>233716.4745762712</v>
      </c>
      <c r="F143" s="676">
        <f t="shared" si="0"/>
        <v>4090038.3050847268</v>
      </c>
      <c r="G143" s="1277">
        <f t="shared" si="2"/>
        <v>687667.44943789975</v>
      </c>
      <c r="H143" s="1280">
        <f t="shared" si="3"/>
        <v>687667.44943789975</v>
      </c>
      <c r="I143" s="729">
        <f t="shared" si="4"/>
        <v>0</v>
      </c>
      <c r="J143" s="729"/>
      <c r="K143" s="881"/>
      <c r="L143" s="735"/>
      <c r="M143" s="881"/>
      <c r="N143" s="735"/>
      <c r="O143" s="735"/>
      <c r="P143" s="677"/>
    </row>
    <row r="144" spans="2:16">
      <c r="B144" s="334"/>
      <c r="C144" s="725">
        <f>IF(D96="","-",+C143+1)</f>
        <v>2050</v>
      </c>
      <c r="D144" s="676">
        <f t="shared" si="1"/>
        <v>4090038.3050847268</v>
      </c>
      <c r="E144" s="732">
        <f t="shared" si="5"/>
        <v>233716.4745762712</v>
      </c>
      <c r="F144" s="676">
        <f t="shared" si="0"/>
        <v>3856321.8305084556</v>
      </c>
      <c r="G144" s="1277">
        <f t="shared" si="2"/>
        <v>662447.95083447592</v>
      </c>
      <c r="H144" s="1280">
        <f t="shared" si="3"/>
        <v>662447.95083447592</v>
      </c>
      <c r="I144" s="729">
        <f t="shared" si="4"/>
        <v>0</v>
      </c>
      <c r="J144" s="729"/>
      <c r="K144" s="881"/>
      <c r="L144" s="735"/>
      <c r="M144" s="881"/>
      <c r="N144" s="735"/>
      <c r="O144" s="735"/>
      <c r="P144" s="677"/>
    </row>
    <row r="145" spans="2:16">
      <c r="B145" s="334"/>
      <c r="C145" s="725">
        <f>IF(D96="","-",+C144+1)</f>
        <v>2051</v>
      </c>
      <c r="D145" s="676">
        <f t="shared" si="1"/>
        <v>3856321.8305084556</v>
      </c>
      <c r="E145" s="732">
        <f t="shared" si="5"/>
        <v>233716.4745762712</v>
      </c>
      <c r="F145" s="676">
        <f t="shared" si="0"/>
        <v>3622605.3559321845</v>
      </c>
      <c r="G145" s="1277">
        <f t="shared" si="2"/>
        <v>637228.45223105187</v>
      </c>
      <c r="H145" s="1280">
        <f t="shared" si="3"/>
        <v>637228.45223105187</v>
      </c>
      <c r="I145" s="729">
        <f t="shared" si="4"/>
        <v>0</v>
      </c>
      <c r="J145" s="729"/>
      <c r="K145" s="881"/>
      <c r="L145" s="735"/>
      <c r="M145" s="881"/>
      <c r="N145" s="735"/>
      <c r="O145" s="735"/>
      <c r="P145" s="677"/>
    </row>
    <row r="146" spans="2:16">
      <c r="B146" s="334"/>
      <c r="C146" s="725">
        <f>IF(D96="","-",+C145+1)</f>
        <v>2052</v>
      </c>
      <c r="D146" s="676">
        <f t="shared" si="1"/>
        <v>3622605.3559321845</v>
      </c>
      <c r="E146" s="732">
        <f t="shared" si="5"/>
        <v>233716.4745762712</v>
      </c>
      <c r="F146" s="676">
        <f t="shared" si="0"/>
        <v>3388888.8813559134</v>
      </c>
      <c r="G146" s="1277">
        <f t="shared" si="2"/>
        <v>612008.95362762804</v>
      </c>
      <c r="H146" s="1280">
        <f t="shared" si="3"/>
        <v>612008.95362762804</v>
      </c>
      <c r="I146" s="729">
        <f t="shared" si="4"/>
        <v>0</v>
      </c>
      <c r="J146" s="729"/>
      <c r="K146" s="881"/>
      <c r="L146" s="735"/>
      <c r="M146" s="881"/>
      <c r="N146" s="735"/>
      <c r="O146" s="735"/>
      <c r="P146" s="677"/>
    </row>
    <row r="147" spans="2:16">
      <c r="B147" s="334"/>
      <c r="C147" s="725">
        <f>IF(D96="","-",+C146+1)</f>
        <v>2053</v>
      </c>
      <c r="D147" s="676">
        <f t="shared" si="1"/>
        <v>3388888.8813559134</v>
      </c>
      <c r="E147" s="732">
        <f t="shared" si="5"/>
        <v>233716.4745762712</v>
      </c>
      <c r="F147" s="676">
        <f t="shared" si="0"/>
        <v>3155172.4067796422</v>
      </c>
      <c r="G147" s="1277">
        <f t="shared" si="2"/>
        <v>586789.4550242041</v>
      </c>
      <c r="H147" s="1280">
        <f t="shared" si="3"/>
        <v>586789.4550242041</v>
      </c>
      <c r="I147" s="729">
        <f t="shared" si="4"/>
        <v>0</v>
      </c>
      <c r="J147" s="729"/>
      <c r="K147" s="881"/>
      <c r="L147" s="735"/>
      <c r="M147" s="881"/>
      <c r="N147" s="735"/>
      <c r="O147" s="735"/>
      <c r="P147" s="677"/>
    </row>
    <row r="148" spans="2:16">
      <c r="B148" s="334"/>
      <c r="C148" s="725">
        <f>IF(D96="","-",+C147+1)</f>
        <v>2054</v>
      </c>
      <c r="D148" s="676">
        <f t="shared" si="1"/>
        <v>3155172.4067796422</v>
      </c>
      <c r="E148" s="732">
        <f t="shared" si="5"/>
        <v>233716.4745762712</v>
      </c>
      <c r="F148" s="676">
        <f t="shared" si="0"/>
        <v>2921455.9322033711</v>
      </c>
      <c r="G148" s="1277">
        <f t="shared" si="2"/>
        <v>561569.95642078016</v>
      </c>
      <c r="H148" s="1280">
        <f t="shared" si="3"/>
        <v>561569.95642078016</v>
      </c>
      <c r="I148" s="729">
        <f t="shared" si="4"/>
        <v>0</v>
      </c>
      <c r="J148" s="729"/>
      <c r="K148" s="881"/>
      <c r="L148" s="735"/>
      <c r="M148" s="881"/>
      <c r="N148" s="735"/>
      <c r="O148" s="735"/>
      <c r="P148" s="677"/>
    </row>
    <row r="149" spans="2:16">
      <c r="B149" s="334"/>
      <c r="C149" s="725">
        <f>IF(D96="","-",+C148+1)</f>
        <v>2055</v>
      </c>
      <c r="D149" s="676">
        <f t="shared" si="1"/>
        <v>2921455.9322033711</v>
      </c>
      <c r="E149" s="732">
        <f t="shared" si="5"/>
        <v>233716.4745762712</v>
      </c>
      <c r="F149" s="676">
        <f t="shared" si="0"/>
        <v>2687739.4576270999</v>
      </c>
      <c r="G149" s="1277">
        <f t="shared" si="2"/>
        <v>536350.45781735633</v>
      </c>
      <c r="H149" s="1280">
        <f t="shared" si="3"/>
        <v>536350.45781735633</v>
      </c>
      <c r="I149" s="729">
        <f t="shared" si="4"/>
        <v>0</v>
      </c>
      <c r="J149" s="729"/>
      <c r="K149" s="881"/>
      <c r="L149" s="735"/>
      <c r="M149" s="881"/>
      <c r="N149" s="735"/>
      <c r="O149" s="735"/>
      <c r="P149" s="677"/>
    </row>
    <row r="150" spans="2:16">
      <c r="B150" s="334"/>
      <c r="C150" s="725">
        <f>IF(D96="","-",+C149+1)</f>
        <v>2056</v>
      </c>
      <c r="D150" s="676">
        <f t="shared" si="1"/>
        <v>2687739.4576270999</v>
      </c>
      <c r="E150" s="732">
        <f t="shared" si="5"/>
        <v>233716.4745762712</v>
      </c>
      <c r="F150" s="676">
        <f t="shared" si="0"/>
        <v>2454022.9830508288</v>
      </c>
      <c r="G150" s="1277">
        <f t="shared" si="2"/>
        <v>511130.95921393234</v>
      </c>
      <c r="H150" s="1280">
        <f t="shared" si="3"/>
        <v>511130.95921393234</v>
      </c>
      <c r="I150" s="729">
        <f t="shared" si="4"/>
        <v>0</v>
      </c>
      <c r="J150" s="729"/>
      <c r="K150" s="881"/>
      <c r="L150" s="735"/>
      <c r="M150" s="881"/>
      <c r="N150" s="735"/>
      <c r="O150" s="735"/>
      <c r="P150" s="677"/>
    </row>
    <row r="151" spans="2:16">
      <c r="B151" s="334"/>
      <c r="C151" s="725">
        <f>IF(D96="","-",+C150+1)</f>
        <v>2057</v>
      </c>
      <c r="D151" s="676">
        <f t="shared" si="1"/>
        <v>2454022.9830508288</v>
      </c>
      <c r="E151" s="732">
        <f t="shared" si="5"/>
        <v>233716.4745762712</v>
      </c>
      <c r="F151" s="676">
        <f t="shared" si="0"/>
        <v>2220306.5084745577</v>
      </c>
      <c r="G151" s="1277">
        <f t="shared" si="2"/>
        <v>485911.46061050845</v>
      </c>
      <c r="H151" s="1280">
        <f t="shared" si="3"/>
        <v>485911.46061050845</v>
      </c>
      <c r="I151" s="729">
        <f t="shared" si="4"/>
        <v>0</v>
      </c>
      <c r="J151" s="729"/>
      <c r="K151" s="881"/>
      <c r="L151" s="735"/>
      <c r="M151" s="881"/>
      <c r="N151" s="735"/>
      <c r="O151" s="735"/>
      <c r="P151" s="677"/>
    </row>
    <row r="152" spans="2:16">
      <c r="B152" s="334"/>
      <c r="C152" s="725">
        <f>IF(D96="","-",+C151+1)</f>
        <v>2058</v>
      </c>
      <c r="D152" s="676">
        <f t="shared" si="1"/>
        <v>2220306.5084745577</v>
      </c>
      <c r="E152" s="732">
        <f t="shared" si="5"/>
        <v>233716.4745762712</v>
      </c>
      <c r="F152" s="676">
        <f t="shared" si="0"/>
        <v>1986590.0338982865</v>
      </c>
      <c r="G152" s="1277">
        <f t="shared" si="2"/>
        <v>460691.96200708451</v>
      </c>
      <c r="H152" s="1280">
        <f t="shared" si="3"/>
        <v>460691.96200708451</v>
      </c>
      <c r="I152" s="729">
        <f t="shared" si="4"/>
        <v>0</v>
      </c>
      <c r="J152" s="729"/>
      <c r="K152" s="881"/>
      <c r="L152" s="735"/>
      <c r="M152" s="881"/>
      <c r="N152" s="735"/>
      <c r="O152" s="735"/>
      <c r="P152" s="677"/>
    </row>
    <row r="153" spans="2:16">
      <c r="B153" s="334"/>
      <c r="C153" s="725">
        <f>IF(D96="","-",+C152+1)</f>
        <v>2059</v>
      </c>
      <c r="D153" s="676">
        <f t="shared" si="1"/>
        <v>1986590.0338982865</v>
      </c>
      <c r="E153" s="732">
        <f t="shared" si="5"/>
        <v>233716.4745762712</v>
      </c>
      <c r="F153" s="676">
        <f t="shared" si="0"/>
        <v>1752873.5593220154</v>
      </c>
      <c r="G153" s="1277">
        <f t="shared" si="2"/>
        <v>435472.46340366057</v>
      </c>
      <c r="H153" s="1280">
        <f t="shared" si="3"/>
        <v>435472.46340366057</v>
      </c>
      <c r="I153" s="729">
        <f t="shared" si="4"/>
        <v>0</v>
      </c>
      <c r="J153" s="729"/>
      <c r="K153" s="881"/>
      <c r="L153" s="735"/>
      <c r="M153" s="881"/>
      <c r="N153" s="735"/>
      <c r="O153" s="735"/>
      <c r="P153" s="677"/>
    </row>
    <row r="154" spans="2:16">
      <c r="B154" s="334"/>
      <c r="C154" s="725">
        <f>IF(D96="","-",+C153+1)</f>
        <v>2060</v>
      </c>
      <c r="D154" s="676">
        <f t="shared" si="1"/>
        <v>1752873.5593220154</v>
      </c>
      <c r="E154" s="732">
        <f t="shared" si="5"/>
        <v>233716.4745762712</v>
      </c>
      <c r="F154" s="676">
        <f t="shared" si="0"/>
        <v>1519157.0847457442</v>
      </c>
      <c r="G154" s="1277">
        <f t="shared" si="2"/>
        <v>410252.96480023663</v>
      </c>
      <c r="H154" s="1280">
        <f t="shared" si="3"/>
        <v>410252.96480023663</v>
      </c>
      <c r="I154" s="729">
        <f t="shared" si="4"/>
        <v>0</v>
      </c>
      <c r="J154" s="729"/>
      <c r="K154" s="881"/>
      <c r="L154" s="735"/>
      <c r="M154" s="881"/>
      <c r="N154" s="735"/>
      <c r="O154" s="735"/>
      <c r="P154" s="677"/>
    </row>
    <row r="155" spans="2:16">
      <c r="B155" s="334"/>
      <c r="C155" s="725">
        <f>IF(D96="","-",+C154+1)</f>
        <v>2061</v>
      </c>
      <c r="D155" s="676">
        <f t="shared" si="1"/>
        <v>1519157.0847457442</v>
      </c>
      <c r="E155" s="732">
        <f t="shared" si="5"/>
        <v>233716.4745762712</v>
      </c>
      <c r="F155" s="676">
        <f t="shared" si="0"/>
        <v>1285440.6101694731</v>
      </c>
      <c r="G155" s="1277">
        <f t="shared" si="2"/>
        <v>385033.46619681275</v>
      </c>
      <c r="H155" s="1280">
        <f t="shared" si="3"/>
        <v>385033.46619681275</v>
      </c>
      <c r="I155" s="729">
        <f t="shared" si="4"/>
        <v>0</v>
      </c>
      <c r="J155" s="729"/>
      <c r="K155" s="881"/>
      <c r="L155" s="735"/>
      <c r="M155" s="881"/>
      <c r="N155" s="735"/>
      <c r="O155" s="735"/>
      <c r="P155" s="677"/>
    </row>
    <row r="156" spans="2:16">
      <c r="B156" s="334"/>
      <c r="C156" s="725">
        <f>IF(D96="","-",+C155+1)</f>
        <v>2062</v>
      </c>
      <c r="D156" s="676">
        <f t="shared" si="1"/>
        <v>1285440.6101694731</v>
      </c>
      <c r="E156" s="732">
        <f t="shared" si="5"/>
        <v>233716.4745762712</v>
      </c>
      <c r="F156" s="676">
        <f t="shared" si="0"/>
        <v>1051724.135593202</v>
      </c>
      <c r="G156" s="1277">
        <f t="shared" si="2"/>
        <v>359813.96759338886</v>
      </c>
      <c r="H156" s="1280">
        <f t="shared" si="3"/>
        <v>359813.96759338886</v>
      </c>
      <c r="I156" s="729">
        <f t="shared" si="4"/>
        <v>0</v>
      </c>
      <c r="J156" s="729"/>
      <c r="K156" s="881"/>
      <c r="L156" s="735"/>
      <c r="M156" s="881"/>
      <c r="N156" s="735"/>
      <c r="O156" s="735"/>
      <c r="P156" s="677"/>
    </row>
    <row r="157" spans="2:16">
      <c r="B157" s="334"/>
      <c r="C157" s="725">
        <f>IF(D96="","-",+C156+1)</f>
        <v>2063</v>
      </c>
      <c r="D157" s="676">
        <f t="shared" si="1"/>
        <v>1051724.135593202</v>
      </c>
      <c r="E157" s="732">
        <f t="shared" si="5"/>
        <v>233716.4745762712</v>
      </c>
      <c r="F157" s="676">
        <f t="shared" si="0"/>
        <v>818007.66101693083</v>
      </c>
      <c r="G157" s="1277">
        <f t="shared" si="2"/>
        <v>334594.46898996492</v>
      </c>
      <c r="H157" s="1280">
        <f t="shared" si="3"/>
        <v>334594.46898996492</v>
      </c>
      <c r="I157" s="729">
        <f t="shared" si="4"/>
        <v>0</v>
      </c>
      <c r="J157" s="729"/>
      <c r="K157" s="881"/>
      <c r="L157" s="735"/>
      <c r="M157" s="881"/>
      <c r="N157" s="735"/>
      <c r="O157" s="735"/>
      <c r="P157" s="677"/>
    </row>
    <row r="158" spans="2:16">
      <c r="B158" s="334"/>
      <c r="C158" s="725">
        <f>IF(D96="","-",+C157+1)</f>
        <v>2064</v>
      </c>
      <c r="D158" s="676">
        <f t="shared" si="1"/>
        <v>818007.66101693083</v>
      </c>
      <c r="E158" s="732">
        <f t="shared" si="5"/>
        <v>233716.4745762712</v>
      </c>
      <c r="F158" s="676">
        <f t="shared" si="0"/>
        <v>584291.18644065969</v>
      </c>
      <c r="G158" s="1277">
        <f t="shared" si="2"/>
        <v>309374.97038654098</v>
      </c>
      <c r="H158" s="1280">
        <f t="shared" si="3"/>
        <v>309374.97038654098</v>
      </c>
      <c r="I158" s="729">
        <f t="shared" si="4"/>
        <v>0</v>
      </c>
      <c r="J158" s="729"/>
      <c r="K158" s="881"/>
      <c r="L158" s="735"/>
      <c r="M158" s="881"/>
      <c r="N158" s="735"/>
      <c r="O158" s="735"/>
      <c r="P158" s="677"/>
    </row>
    <row r="159" spans="2:16">
      <c r="B159" s="334"/>
      <c r="C159" s="725">
        <f>IF(D96="","-",+C158+1)</f>
        <v>2065</v>
      </c>
      <c r="D159" s="676">
        <f t="shared" si="1"/>
        <v>584291.18644065969</v>
      </c>
      <c r="E159" s="732">
        <f t="shared" si="5"/>
        <v>233716.4745762712</v>
      </c>
      <c r="F159" s="676">
        <f t="shared" si="0"/>
        <v>350574.71186438849</v>
      </c>
      <c r="G159" s="1277">
        <f t="shared" si="2"/>
        <v>284155.47178311704</v>
      </c>
      <c r="H159" s="1280">
        <f t="shared" si="3"/>
        <v>284155.47178311704</v>
      </c>
      <c r="I159" s="729">
        <f t="shared" si="4"/>
        <v>0</v>
      </c>
      <c r="J159" s="729"/>
      <c r="K159" s="881"/>
      <c r="L159" s="735"/>
      <c r="M159" s="881"/>
      <c r="N159" s="735"/>
      <c r="O159" s="735"/>
      <c r="P159" s="677"/>
    </row>
    <row r="160" spans="2:16">
      <c r="B160" s="334"/>
      <c r="C160" s="725">
        <f>IF(D96="","-",+C159+1)</f>
        <v>2066</v>
      </c>
      <c r="D160" s="676">
        <f t="shared" si="1"/>
        <v>350574.71186438849</v>
      </c>
      <c r="E160" s="732">
        <f t="shared" si="5"/>
        <v>233716.4745762712</v>
      </c>
      <c r="F160" s="676">
        <f t="shared" si="0"/>
        <v>116858.23728811729</v>
      </c>
      <c r="G160" s="1277">
        <f t="shared" si="2"/>
        <v>258935.97317969316</v>
      </c>
      <c r="H160" s="1280">
        <f t="shared" si="3"/>
        <v>258935.97317969316</v>
      </c>
      <c r="I160" s="729">
        <f t="shared" si="4"/>
        <v>0</v>
      </c>
      <c r="J160" s="729"/>
      <c r="K160" s="881"/>
      <c r="L160" s="735"/>
      <c r="M160" s="881"/>
      <c r="N160" s="735"/>
      <c r="O160" s="735"/>
      <c r="P160" s="677"/>
    </row>
    <row r="161" spans="1:16" ht="13.5" thickBot="1">
      <c r="B161" s="334"/>
      <c r="C161" s="737">
        <f>IF(D96="","-",+C160+1)</f>
        <v>2067</v>
      </c>
      <c r="D161" s="738">
        <f t="shared" si="1"/>
        <v>116858.23728811729</v>
      </c>
      <c r="E161" s="739">
        <f t="shared" si="5"/>
        <v>116858.23728811729</v>
      </c>
      <c r="F161" s="738">
        <f t="shared" si="0"/>
        <v>0</v>
      </c>
      <c r="G161" s="1287">
        <f t="shared" si="2"/>
        <v>123163.11193897229</v>
      </c>
      <c r="H161" s="1287">
        <f t="shared" si="3"/>
        <v>123163.11193897229</v>
      </c>
      <c r="I161" s="741">
        <f t="shared" si="4"/>
        <v>0</v>
      </c>
      <c r="J161" s="729"/>
      <c r="K161" s="882"/>
      <c r="L161" s="743"/>
      <c r="M161" s="882"/>
      <c r="N161" s="743"/>
      <c r="O161" s="743"/>
      <c r="P161" s="677"/>
    </row>
    <row r="162" spans="1:16">
      <c r="B162" s="334"/>
      <c r="C162" s="676" t="s">
        <v>289</v>
      </c>
      <c r="D162" s="1258"/>
      <c r="E162" s="1258">
        <f>SUM(E102:E161)</f>
        <v>13789272</v>
      </c>
      <c r="F162" s="1258"/>
      <c r="G162" s="1258">
        <f>SUM(G102:G161)</f>
        <v>58427784.52806022</v>
      </c>
      <c r="H162" s="1258">
        <f>SUM(H102:H161)</f>
        <v>58427784.52806022</v>
      </c>
      <c r="I162" s="1258">
        <f>SUM(I102:I161)</f>
        <v>0</v>
      </c>
      <c r="J162" s="1258"/>
      <c r="K162" s="1258"/>
      <c r="L162" s="1258"/>
      <c r="M162" s="1258"/>
      <c r="N162" s="1258"/>
      <c r="O162" s="543"/>
      <c r="P162" s="1258"/>
    </row>
    <row r="163" spans="1:16">
      <c r="B163" s="334"/>
      <c r="D163" s="566"/>
      <c r="E163" s="543"/>
      <c r="F163" s="543"/>
      <c r="G163" s="543"/>
      <c r="H163" s="1257"/>
      <c r="I163" s="1257"/>
      <c r="J163" s="1258"/>
      <c r="K163" s="1257"/>
      <c r="L163" s="1257"/>
      <c r="M163" s="1257"/>
      <c r="N163" s="1257"/>
      <c r="O163" s="543"/>
      <c r="P163" s="1258"/>
    </row>
    <row r="164" spans="1:16">
      <c r="B164" s="334"/>
      <c r="C164" s="543" t="s">
        <v>602</v>
      </c>
      <c r="D164" s="566"/>
      <c r="E164" s="543"/>
      <c r="F164" s="543"/>
      <c r="G164" s="543"/>
      <c r="H164" s="1257"/>
      <c r="I164" s="1257"/>
      <c r="J164" s="1258"/>
      <c r="K164" s="1257"/>
      <c r="L164" s="1257"/>
      <c r="M164" s="1257"/>
      <c r="N164" s="1257"/>
      <c r="O164" s="543"/>
      <c r="P164" s="1258"/>
    </row>
    <row r="165" spans="1:16">
      <c r="B165" s="334"/>
      <c r="D165" s="566"/>
      <c r="E165" s="543"/>
      <c r="F165" s="543"/>
      <c r="G165" s="543"/>
      <c r="H165" s="1257"/>
      <c r="I165" s="1257"/>
      <c r="J165" s="1258"/>
      <c r="K165" s="1257"/>
      <c r="L165" s="1257"/>
      <c r="M165" s="1257"/>
      <c r="N165" s="1257"/>
      <c r="O165" s="543"/>
      <c r="P165" s="1258"/>
    </row>
    <row r="166" spans="1:16">
      <c r="B166" s="334"/>
      <c r="C166" s="579" t="s">
        <v>603</v>
      </c>
      <c r="D166" s="676"/>
      <c r="E166" s="676"/>
      <c r="F166" s="676"/>
      <c r="G166" s="1258"/>
      <c r="H166" s="1258"/>
      <c r="I166" s="677"/>
      <c r="J166" s="677"/>
      <c r="K166" s="677"/>
      <c r="L166" s="677"/>
      <c r="M166" s="677"/>
      <c r="N166" s="677"/>
      <c r="O166" s="543"/>
      <c r="P166" s="677"/>
    </row>
    <row r="167" spans="1:16">
      <c r="B167" s="334"/>
      <c r="C167" s="579" t="s">
        <v>477</v>
      </c>
      <c r="D167" s="676"/>
      <c r="E167" s="676"/>
      <c r="F167" s="676"/>
      <c r="G167" s="1258"/>
      <c r="H167" s="1258"/>
      <c r="I167" s="677"/>
      <c r="J167" s="677"/>
      <c r="K167" s="677"/>
      <c r="L167" s="677"/>
      <c r="M167" s="677"/>
      <c r="N167" s="677"/>
      <c r="O167" s="543"/>
      <c r="P167" s="677"/>
    </row>
    <row r="168" spans="1:16">
      <c r="B168" s="334"/>
      <c r="C168" s="579" t="s">
        <v>290</v>
      </c>
      <c r="D168" s="676"/>
      <c r="E168" s="676"/>
      <c r="F168" s="676"/>
      <c r="G168" s="1258"/>
      <c r="H168" s="1258"/>
      <c r="I168" s="677"/>
      <c r="J168" s="677"/>
      <c r="K168" s="677"/>
      <c r="L168" s="677"/>
      <c r="M168" s="677"/>
      <c r="N168" s="677"/>
      <c r="O168" s="543"/>
      <c r="P168" s="677"/>
    </row>
    <row r="169" spans="1:16">
      <c r="B169" s="334"/>
      <c r="C169" s="675"/>
      <c r="D169" s="676"/>
      <c r="E169" s="676"/>
      <c r="F169" s="676"/>
      <c r="G169" s="1258"/>
      <c r="H169" s="1258"/>
      <c r="I169" s="677"/>
      <c r="J169" s="677"/>
      <c r="K169" s="677"/>
      <c r="L169" s="677"/>
      <c r="M169" s="677"/>
      <c r="N169" s="677"/>
      <c r="O169" s="543"/>
      <c r="P169" s="677"/>
    </row>
    <row r="170" spans="1:16">
      <c r="B170" s="334"/>
      <c r="C170" s="1436" t="s">
        <v>461</v>
      </c>
      <c r="D170" s="1436"/>
      <c r="E170" s="1436"/>
      <c r="F170" s="1436"/>
      <c r="G170" s="1436"/>
      <c r="H170" s="1436"/>
      <c r="I170" s="1436"/>
      <c r="J170" s="1436"/>
      <c r="K170" s="1436"/>
      <c r="L170" s="1436"/>
      <c r="M170" s="1436"/>
      <c r="N170" s="1436"/>
      <c r="O170" s="1436"/>
    </row>
    <row r="171" spans="1:16">
      <c r="B171" s="334"/>
      <c r="C171" s="1436"/>
      <c r="D171" s="1436"/>
      <c r="E171" s="1436"/>
      <c r="F171" s="1436"/>
      <c r="G171" s="1436"/>
      <c r="H171" s="1436"/>
      <c r="I171" s="1436"/>
      <c r="J171" s="1436"/>
      <c r="K171" s="1436"/>
      <c r="L171" s="1436"/>
      <c r="M171" s="1436"/>
      <c r="N171" s="1436"/>
      <c r="O171" s="1436"/>
    </row>
    <row r="172" spans="1:16">
      <c r="B172" s="334"/>
      <c r="H172" s="1288"/>
    </row>
    <row r="173" spans="1:16" ht="20.25">
      <c r="A173" s="678" t="s">
        <v>993</v>
      </c>
      <c r="B173" s="543"/>
      <c r="C173" s="658"/>
      <c r="D173" s="566"/>
      <c r="E173" s="543"/>
      <c r="F173" s="648"/>
      <c r="G173" s="543"/>
      <c r="H173" s="1257"/>
      <c r="K173" s="679"/>
      <c r="L173" s="679"/>
      <c r="M173" s="679"/>
      <c r="N173" s="594" t="str">
        <f>"Page "&amp;SUM(P$6:P173)&amp;" of "</f>
        <v xml:space="preserve">Page 3 of </v>
      </c>
      <c r="O173" s="595">
        <f>COUNT(P$6:P$59606)</f>
        <v>14</v>
      </c>
      <c r="P173" s="670">
        <v>1</v>
      </c>
    </row>
    <row r="174" spans="1:16">
      <c r="B174" s="543"/>
      <c r="C174" s="543"/>
      <c r="D174" s="566"/>
      <c r="E174" s="543"/>
      <c r="F174" s="543"/>
      <c r="G174" s="543"/>
      <c r="H174" s="1257"/>
      <c r="I174" s="543"/>
      <c r="J174" s="591"/>
      <c r="K174" s="543"/>
      <c r="L174" s="543"/>
      <c r="M174" s="543"/>
      <c r="N174" s="543"/>
      <c r="O174" s="543"/>
      <c r="P174" s="591"/>
    </row>
    <row r="175" spans="1:16" ht="18">
      <c r="B175" s="598" t="s">
        <v>175</v>
      </c>
      <c r="C175" s="680" t="s">
        <v>291</v>
      </c>
      <c r="D175" s="566"/>
      <c r="E175" s="543"/>
      <c r="F175" s="543"/>
      <c r="G175" s="543"/>
      <c r="H175" s="1257"/>
      <c r="I175" s="1257"/>
      <c r="J175" s="1258"/>
      <c r="K175" s="1257"/>
      <c r="L175" s="1257"/>
      <c r="M175" s="1257"/>
      <c r="N175" s="1257"/>
      <c r="O175" s="543"/>
      <c r="P175" s="1258"/>
    </row>
    <row r="176" spans="1:16" ht="18.75">
      <c r="B176" s="598"/>
      <c r="C176" s="597"/>
      <c r="D176" s="566"/>
      <c r="E176" s="543"/>
      <c r="F176" s="543"/>
      <c r="G176" s="543"/>
      <c r="H176" s="1257"/>
      <c r="I176" s="1257"/>
      <c r="J176" s="1258"/>
      <c r="K176" s="1257"/>
      <c r="L176" s="1257"/>
      <c r="M176" s="1257"/>
      <c r="N176" s="1257"/>
      <c r="O176" s="543"/>
      <c r="P176" s="1258"/>
    </row>
    <row r="177" spans="1:16" ht="18.75">
      <c r="B177" s="598"/>
      <c r="C177" s="597" t="s">
        <v>292</v>
      </c>
      <c r="D177" s="566"/>
      <c r="E177" s="543"/>
      <c r="F177" s="543"/>
      <c r="G177" s="543"/>
      <c r="H177" s="1257"/>
      <c r="I177" s="1257"/>
      <c r="J177" s="1258"/>
      <c r="K177" s="1257"/>
      <c r="L177" s="1257"/>
      <c r="M177" s="1257"/>
      <c r="N177" s="1257"/>
      <c r="O177" s="543"/>
      <c r="P177" s="1258"/>
    </row>
    <row r="178" spans="1:16" ht="15.75" thickBot="1">
      <c r="B178" s="334"/>
      <c r="C178" s="400"/>
      <c r="D178" s="566"/>
      <c r="E178" s="543"/>
      <c r="F178" s="543"/>
      <c r="G178" s="543"/>
      <c r="H178" s="1257"/>
      <c r="I178" s="1257"/>
      <c r="J178" s="1258"/>
      <c r="K178" s="1257"/>
      <c r="L178" s="1257"/>
      <c r="M178" s="1257"/>
      <c r="N178" s="1257"/>
      <c r="O178" s="543"/>
      <c r="P178" s="1258"/>
    </row>
    <row r="179" spans="1:16" ht="15.75">
      <c r="B179" s="334"/>
      <c r="C179" s="599" t="s">
        <v>293</v>
      </c>
      <c r="D179" s="566"/>
      <c r="E179" s="543"/>
      <c r="F179" s="543"/>
      <c r="G179" s="1259"/>
      <c r="H179" s="543" t="s">
        <v>272</v>
      </c>
      <c r="I179" s="543"/>
      <c r="J179" s="591"/>
      <c r="K179" s="681" t="s">
        <v>297</v>
      </c>
      <c r="L179" s="682"/>
      <c r="M179" s="683"/>
      <c r="N179" s="1260">
        <f>VLOOKUP(I185,C192:O251,5)</f>
        <v>274141.49505334557</v>
      </c>
      <c r="O179" s="543"/>
      <c r="P179" s="591"/>
    </row>
    <row r="180" spans="1:16" ht="15.75">
      <c r="B180" s="334"/>
      <c r="C180" s="599"/>
      <c r="D180" s="566"/>
      <c r="E180" s="543"/>
      <c r="F180" s="543"/>
      <c r="G180" s="543"/>
      <c r="H180" s="1261"/>
      <c r="I180" s="1261"/>
      <c r="J180" s="1262"/>
      <c r="K180" s="686" t="s">
        <v>298</v>
      </c>
      <c r="L180" s="1263"/>
      <c r="M180" s="591"/>
      <c r="N180" s="1264">
        <f>VLOOKUP(I185,C192:O251,6)</f>
        <v>274141.49505334557</v>
      </c>
      <c r="O180" s="543"/>
      <c r="P180" s="1262"/>
    </row>
    <row r="181" spans="1:16" ht="13.5" thickBot="1">
      <c r="B181" s="334"/>
      <c r="C181" s="687" t="s">
        <v>294</v>
      </c>
      <c r="D181" s="1434" t="s">
        <v>996</v>
      </c>
      <c r="E181" s="1434"/>
      <c r="F181" s="1434"/>
      <c r="G181" s="1434"/>
      <c r="H181" s="1257"/>
      <c r="I181" s="1257"/>
      <c r="J181" s="1258"/>
      <c r="K181" s="1265" t="s">
        <v>451</v>
      </c>
      <c r="L181" s="1266"/>
      <c r="M181" s="1266"/>
      <c r="N181" s="1267">
        <f>+N180-N179</f>
        <v>0</v>
      </c>
      <c r="O181" s="543"/>
      <c r="P181" s="1258"/>
    </row>
    <row r="182" spans="1:16">
      <c r="B182" s="334"/>
      <c r="C182" s="689"/>
      <c r="D182" s="690"/>
      <c r="E182" s="674"/>
      <c r="F182" s="674"/>
      <c r="G182" s="691"/>
      <c r="H182" s="1257"/>
      <c r="I182" s="1257"/>
      <c r="J182" s="1258"/>
      <c r="K182" s="1257"/>
      <c r="L182" s="1257"/>
      <c r="M182" s="1257"/>
      <c r="N182" s="1257"/>
      <c r="O182" s="543"/>
      <c r="P182" s="1258"/>
    </row>
    <row r="183" spans="1:16" ht="13.5" thickBot="1">
      <c r="B183" s="334"/>
      <c r="C183" s="692"/>
      <c r="D183" s="693"/>
      <c r="E183" s="691"/>
      <c r="F183" s="691"/>
      <c r="G183" s="691"/>
      <c r="H183" s="691"/>
      <c r="I183" s="691"/>
      <c r="J183" s="694"/>
      <c r="K183" s="691"/>
      <c r="L183" s="691"/>
      <c r="M183" s="691"/>
      <c r="N183" s="691"/>
      <c r="O183" s="579"/>
      <c r="P183" s="694"/>
    </row>
    <row r="184" spans="1:16" ht="13.5" thickBot="1">
      <c r="B184" s="334"/>
      <c r="C184" s="696" t="s">
        <v>295</v>
      </c>
      <c r="D184" s="697"/>
      <c r="E184" s="697"/>
      <c r="F184" s="697"/>
      <c r="G184" s="697"/>
      <c r="H184" s="697"/>
      <c r="I184" s="698"/>
      <c r="J184" s="699"/>
      <c r="K184" s="543"/>
      <c r="L184" s="543"/>
      <c r="M184" s="543"/>
      <c r="N184" s="543"/>
      <c r="O184" s="700"/>
      <c r="P184" s="701"/>
    </row>
    <row r="185" spans="1:16" ht="15">
      <c r="C185" s="702" t="s">
        <v>273</v>
      </c>
      <c r="D185" s="1268">
        <v>2426728</v>
      </c>
      <c r="E185" s="658" t="s">
        <v>274</v>
      </c>
      <c r="G185" s="703"/>
      <c r="H185" s="703"/>
      <c r="I185" s="704">
        <v>2018</v>
      </c>
      <c r="J185" s="589"/>
      <c r="K185" s="1435" t="s">
        <v>460</v>
      </c>
      <c r="L185" s="1435"/>
      <c r="M185" s="1435"/>
      <c r="N185" s="1435"/>
      <c r="O185" s="1435"/>
      <c r="P185" s="589"/>
    </row>
    <row r="186" spans="1:16">
      <c r="C186" s="702" t="s">
        <v>276</v>
      </c>
      <c r="D186" s="876">
        <v>2011</v>
      </c>
      <c r="E186" s="702" t="s">
        <v>277</v>
      </c>
      <c r="F186" s="703"/>
      <c r="H186" s="334"/>
      <c r="I186" s="879">
        <f>IF(G179="",0,$F$15)</f>
        <v>0</v>
      </c>
      <c r="J186" s="705"/>
      <c r="K186" s="1258" t="s">
        <v>460</v>
      </c>
      <c r="P186" s="705"/>
    </row>
    <row r="187" spans="1:16">
      <c r="C187" s="702" t="s">
        <v>278</v>
      </c>
      <c r="D187" s="1269">
        <v>12</v>
      </c>
      <c r="E187" s="702" t="s">
        <v>279</v>
      </c>
      <c r="F187" s="703"/>
      <c r="H187" s="334"/>
      <c r="I187" s="706">
        <f>$G$70</f>
        <v>0.10790637951024619</v>
      </c>
      <c r="J187" s="707"/>
      <c r="K187" s="334" t="str">
        <f>"          INPUT PROJECTED ARR (WITH &amp; WITHOUT INCENTIVES) FROM EACH PRIOR YEAR"</f>
        <v xml:space="preserve">          INPUT PROJECTED ARR (WITH &amp; WITHOUT INCENTIVES) FROM EACH PRIOR YEAR</v>
      </c>
      <c r="P187" s="707"/>
    </row>
    <row r="188" spans="1:16">
      <c r="C188" s="702" t="s">
        <v>280</v>
      </c>
      <c r="D188" s="708">
        <f>G$79</f>
        <v>59</v>
      </c>
      <c r="E188" s="702" t="s">
        <v>281</v>
      </c>
      <c r="F188" s="703"/>
      <c r="H188" s="334"/>
      <c r="I188" s="706">
        <f>IF(G179="",I187,$G$67)</f>
        <v>0.10790637951024619</v>
      </c>
      <c r="J188" s="709"/>
      <c r="K188" s="334" t="s">
        <v>358</v>
      </c>
      <c r="P188" s="709"/>
    </row>
    <row r="189" spans="1:16" ht="13.5" thickBot="1">
      <c r="C189" s="702" t="s">
        <v>282</v>
      </c>
      <c r="D189" s="878" t="s">
        <v>995</v>
      </c>
      <c r="E189" s="710" t="s">
        <v>283</v>
      </c>
      <c r="F189" s="711"/>
      <c r="G189" s="712"/>
      <c r="H189" s="712"/>
      <c r="I189" s="1267">
        <f>IF(D185=0,0,D185/D188)</f>
        <v>41130.983050847455</v>
      </c>
      <c r="J189" s="1258"/>
      <c r="K189" s="1258" t="s">
        <v>364</v>
      </c>
      <c r="L189" s="1258"/>
      <c r="M189" s="1258"/>
      <c r="N189" s="1258"/>
      <c r="O189" s="591"/>
      <c r="P189" s="1258"/>
    </row>
    <row r="190" spans="1:16" ht="51">
      <c r="A190" s="530"/>
      <c r="B190" s="530"/>
      <c r="C190" s="713" t="s">
        <v>273</v>
      </c>
      <c r="D190" s="1270" t="s">
        <v>284</v>
      </c>
      <c r="E190" s="1271" t="s">
        <v>285</v>
      </c>
      <c r="F190" s="1270" t="s">
        <v>286</v>
      </c>
      <c r="G190" s="1271" t="s">
        <v>357</v>
      </c>
      <c r="H190" s="1272" t="s">
        <v>357</v>
      </c>
      <c r="I190" s="713" t="s">
        <v>296</v>
      </c>
      <c r="J190" s="717"/>
      <c r="K190" s="1271" t="s">
        <v>366</v>
      </c>
      <c r="L190" s="1273"/>
      <c r="M190" s="1271" t="s">
        <v>366</v>
      </c>
      <c r="N190" s="1273"/>
      <c r="O190" s="1273"/>
      <c r="P190" s="718"/>
    </row>
    <row r="191" spans="1:16" ht="13.5" thickBot="1">
      <c r="B191" s="334"/>
      <c r="C191" s="719" t="s">
        <v>178</v>
      </c>
      <c r="D191" s="720" t="s">
        <v>179</v>
      </c>
      <c r="E191" s="719" t="s">
        <v>37</v>
      </c>
      <c r="F191" s="720" t="s">
        <v>179</v>
      </c>
      <c r="G191" s="1274" t="s">
        <v>299</v>
      </c>
      <c r="H191" s="1275" t="s">
        <v>301</v>
      </c>
      <c r="I191" s="723" t="s">
        <v>390</v>
      </c>
      <c r="J191" s="724"/>
      <c r="K191" s="1274" t="s">
        <v>288</v>
      </c>
      <c r="L191" s="1276"/>
      <c r="M191" s="1274" t="s">
        <v>301</v>
      </c>
      <c r="N191" s="1276"/>
      <c r="O191" s="1276"/>
      <c r="P191" s="589"/>
    </row>
    <row r="192" spans="1:16">
      <c r="B192" s="334"/>
      <c r="C192" s="725">
        <f>IF(D186= "","-",D186)</f>
        <v>2011</v>
      </c>
      <c r="D192" s="676">
        <f>+D185</f>
        <v>2426728</v>
      </c>
      <c r="E192" s="1277">
        <f>+I189/12*(12-D187)</f>
        <v>0</v>
      </c>
      <c r="F192" s="676">
        <f t="shared" ref="F192:F251" si="6">+D192-E192</f>
        <v>2426728</v>
      </c>
      <c r="G192" s="1278">
        <f>+$I$187*((D192+F192)/2)+E192</f>
        <v>261859.43253614072</v>
      </c>
      <c r="H192" s="1279">
        <f>+$I$188*((D192+F192)/2)+E192</f>
        <v>261859.43253614072</v>
      </c>
      <c r="I192" s="729">
        <f>+H192-G192</f>
        <v>0</v>
      </c>
      <c r="J192" s="729"/>
      <c r="K192" s="880" t="s">
        <v>115</v>
      </c>
      <c r="L192" s="731"/>
      <c r="M192" s="880" t="s">
        <v>115</v>
      </c>
      <c r="N192" s="731"/>
      <c r="O192" s="731"/>
      <c r="P192" s="677"/>
    </row>
    <row r="193" spans="2:16">
      <c r="B193" s="334"/>
      <c r="C193" s="725">
        <f>IF(D186="","-",+C192+1)</f>
        <v>2012</v>
      </c>
      <c r="D193" s="676">
        <f>F192</f>
        <v>2426728</v>
      </c>
      <c r="E193" s="732">
        <f>IF(D193&gt;$I$189,$I$189,D193)</f>
        <v>41130.983050847455</v>
      </c>
      <c r="F193" s="676">
        <f>+D193-E193</f>
        <v>2385597.0169491526</v>
      </c>
      <c r="G193" s="1277">
        <f t="shared" ref="G193:G251" si="7">+$I$187*((D193+F193)/2)+E193</f>
        <v>300771.26785363106</v>
      </c>
      <c r="H193" s="1280">
        <f t="shared" ref="H193:H251" si="8">+$I$188*((D193+F193)/2)+E193</f>
        <v>300771.26785363106</v>
      </c>
      <c r="I193" s="729">
        <f t="shared" ref="I193:I251" si="9">+H193-G193</f>
        <v>0</v>
      </c>
      <c r="J193" s="729"/>
      <c r="K193" s="1289" t="s">
        <v>115</v>
      </c>
      <c r="L193" s="735"/>
      <c r="M193" s="1289" t="s">
        <v>115</v>
      </c>
      <c r="N193" s="735"/>
      <c r="O193" s="735"/>
      <c r="P193" s="677"/>
    </row>
    <row r="194" spans="2:16">
      <c r="B194" s="334"/>
      <c r="C194" s="725">
        <f>IF(D186="","-",+C193+1)</f>
        <v>2013</v>
      </c>
      <c r="D194" s="676">
        <f>F193</f>
        <v>2385597.0169491526</v>
      </c>
      <c r="E194" s="732">
        <f t="shared" ref="E194:E251" si="10">IF(D194&gt;$I$189,$I$189,D194)</f>
        <v>41130.983050847455</v>
      </c>
      <c r="F194" s="676">
        <f t="shared" si="6"/>
        <v>2344466.0338983051</v>
      </c>
      <c r="G194" s="1277">
        <f t="shared" si="7"/>
        <v>296332.97238691681</v>
      </c>
      <c r="H194" s="1280">
        <f t="shared" si="8"/>
        <v>296332.97238691681</v>
      </c>
      <c r="I194" s="729">
        <f t="shared" si="9"/>
        <v>0</v>
      </c>
      <c r="J194" s="729"/>
      <c r="K194" s="1289">
        <v>41778</v>
      </c>
      <c r="L194" s="1290"/>
      <c r="M194" s="1289">
        <v>41778</v>
      </c>
      <c r="N194" s="735"/>
      <c r="O194" s="735"/>
      <c r="P194" s="677"/>
    </row>
    <row r="195" spans="2:16">
      <c r="B195" s="334"/>
      <c r="C195" s="725">
        <f>IF(D186="","-",+C194+1)</f>
        <v>2014</v>
      </c>
      <c r="D195" s="676">
        <f t="shared" ref="D195:D251" si="11">F194</f>
        <v>2344466.0338983051</v>
      </c>
      <c r="E195" s="732">
        <f t="shared" si="10"/>
        <v>41130.983050847455</v>
      </c>
      <c r="F195" s="676">
        <f t="shared" si="6"/>
        <v>2303335.0508474577</v>
      </c>
      <c r="G195" s="1277">
        <f t="shared" si="7"/>
        <v>291894.67692020256</v>
      </c>
      <c r="H195" s="1280">
        <f t="shared" si="8"/>
        <v>291894.67692020256</v>
      </c>
      <c r="I195" s="729">
        <f t="shared" si="9"/>
        <v>0</v>
      </c>
      <c r="J195" s="729"/>
      <c r="K195" s="1289">
        <v>36470</v>
      </c>
      <c r="L195" s="735"/>
      <c r="M195" s="1289">
        <v>36470</v>
      </c>
      <c r="N195" s="735"/>
      <c r="O195" s="735"/>
      <c r="P195" s="677"/>
    </row>
    <row r="196" spans="2:16">
      <c r="B196" s="334"/>
      <c r="C196" s="725">
        <f>IF(D186="","-",+C195+1)</f>
        <v>2015</v>
      </c>
      <c r="D196" s="676">
        <f t="shared" si="11"/>
        <v>2303335.0508474577</v>
      </c>
      <c r="E196" s="732">
        <f t="shared" si="10"/>
        <v>41130.983050847455</v>
      </c>
      <c r="F196" s="676">
        <f t="shared" si="6"/>
        <v>2262204.0677966103</v>
      </c>
      <c r="G196" s="1277">
        <f t="shared" si="7"/>
        <v>287456.38145348831</v>
      </c>
      <c r="H196" s="1280">
        <f t="shared" si="8"/>
        <v>287456.38145348831</v>
      </c>
      <c r="I196" s="729">
        <f t="shared" si="9"/>
        <v>0</v>
      </c>
      <c r="J196" s="729"/>
      <c r="K196" s="881">
        <v>36769</v>
      </c>
      <c r="L196" s="735"/>
      <c r="M196" s="881">
        <v>36769</v>
      </c>
      <c r="N196" s="735"/>
      <c r="O196" s="735"/>
      <c r="P196" s="677"/>
    </row>
    <row r="197" spans="2:16">
      <c r="B197" s="334"/>
      <c r="C197" s="725">
        <f>IF(D186="","-",+C196+1)</f>
        <v>2016</v>
      </c>
      <c r="D197" s="676">
        <f t="shared" si="11"/>
        <v>2262204.0677966103</v>
      </c>
      <c r="E197" s="732">
        <f t="shared" si="10"/>
        <v>41130.983050847455</v>
      </c>
      <c r="F197" s="676">
        <f t="shared" si="6"/>
        <v>2221073.0847457629</v>
      </c>
      <c r="G197" s="1277">
        <f t="shared" si="7"/>
        <v>283018.08598677407</v>
      </c>
      <c r="H197" s="1280">
        <f t="shared" si="8"/>
        <v>283018.08598677407</v>
      </c>
      <c r="I197" s="729">
        <f t="shared" si="9"/>
        <v>0</v>
      </c>
      <c r="J197" s="729"/>
      <c r="K197" s="881">
        <v>35303</v>
      </c>
      <c r="L197" s="735"/>
      <c r="M197" s="881">
        <v>35303</v>
      </c>
      <c r="N197" s="735"/>
      <c r="O197" s="735"/>
      <c r="P197" s="677"/>
    </row>
    <row r="198" spans="2:16">
      <c r="B198" s="334"/>
      <c r="C198" s="725">
        <f>IF(D186="","-",+C197+1)</f>
        <v>2017</v>
      </c>
      <c r="D198" s="676">
        <f t="shared" si="11"/>
        <v>2221073.0847457629</v>
      </c>
      <c r="E198" s="732">
        <f t="shared" si="10"/>
        <v>41130.983050847455</v>
      </c>
      <c r="F198" s="676">
        <f t="shared" si="6"/>
        <v>2179942.1016949154</v>
      </c>
      <c r="G198" s="1277">
        <f t="shared" si="7"/>
        <v>278579.79052005982</v>
      </c>
      <c r="H198" s="1280">
        <f t="shared" si="8"/>
        <v>278579.79052005982</v>
      </c>
      <c r="I198" s="729">
        <f t="shared" si="9"/>
        <v>0</v>
      </c>
      <c r="J198" s="729"/>
      <c r="K198" s="881">
        <v>36769</v>
      </c>
      <c r="L198" s="735"/>
      <c r="M198" s="881">
        <v>36769</v>
      </c>
      <c r="N198" s="735"/>
      <c r="O198" s="735"/>
      <c r="P198" s="677"/>
    </row>
    <row r="199" spans="2:16">
      <c r="B199" s="334"/>
      <c r="C199" s="1281">
        <f>IF(D186="","-",+C198+1)</f>
        <v>2018</v>
      </c>
      <c r="D199" s="1282">
        <f t="shared" si="11"/>
        <v>2179942.1016949154</v>
      </c>
      <c r="E199" s="1283">
        <f t="shared" si="10"/>
        <v>41130.983050847455</v>
      </c>
      <c r="F199" s="1282">
        <f t="shared" si="6"/>
        <v>2138811.118644068</v>
      </c>
      <c r="G199" s="1284">
        <f t="shared" si="7"/>
        <v>274141.49505334557</v>
      </c>
      <c r="H199" s="1285">
        <f t="shared" si="8"/>
        <v>274141.49505334557</v>
      </c>
      <c r="I199" s="1291">
        <f t="shared" si="9"/>
        <v>0</v>
      </c>
      <c r="J199" s="729"/>
      <c r="K199" s="881"/>
      <c r="L199" s="735"/>
      <c r="M199" s="881"/>
      <c r="N199" s="735"/>
      <c r="O199" s="735"/>
      <c r="P199" s="677"/>
    </row>
    <row r="200" spans="2:16">
      <c r="B200" s="334"/>
      <c r="C200" s="725">
        <f>IF(D186="","-",+C199+1)</f>
        <v>2019</v>
      </c>
      <c r="D200" s="676">
        <f t="shared" si="11"/>
        <v>2138811.118644068</v>
      </c>
      <c r="E200" s="732">
        <f t="shared" si="10"/>
        <v>41130.983050847455</v>
      </c>
      <c r="F200" s="676">
        <f t="shared" si="6"/>
        <v>2097680.1355932206</v>
      </c>
      <c r="G200" s="1277">
        <f t="shared" si="7"/>
        <v>269703.19958663132</v>
      </c>
      <c r="H200" s="1280">
        <f t="shared" si="8"/>
        <v>269703.19958663132</v>
      </c>
      <c r="I200" s="729">
        <f t="shared" si="9"/>
        <v>0</v>
      </c>
      <c r="J200" s="729"/>
      <c r="K200" s="881"/>
      <c r="L200" s="735"/>
      <c r="M200" s="881"/>
      <c r="N200" s="735"/>
      <c r="O200" s="735"/>
      <c r="P200" s="677"/>
    </row>
    <row r="201" spans="2:16">
      <c r="B201" s="334"/>
      <c r="C201" s="725">
        <f>IF(D186="","-",+C200+1)</f>
        <v>2020</v>
      </c>
      <c r="D201" s="676">
        <f t="shared" si="11"/>
        <v>2097680.1355932206</v>
      </c>
      <c r="E201" s="732">
        <f t="shared" si="10"/>
        <v>41130.983050847455</v>
      </c>
      <c r="F201" s="676">
        <f t="shared" si="6"/>
        <v>2056549.1525423732</v>
      </c>
      <c r="G201" s="1277">
        <f t="shared" si="7"/>
        <v>265264.90411991708</v>
      </c>
      <c r="H201" s="1280">
        <f t="shared" si="8"/>
        <v>265264.90411991708</v>
      </c>
      <c r="I201" s="729">
        <f t="shared" si="9"/>
        <v>0</v>
      </c>
      <c r="J201" s="729"/>
      <c r="K201" s="881"/>
      <c r="L201" s="735"/>
      <c r="M201" s="881"/>
      <c r="N201" s="735"/>
      <c r="O201" s="735"/>
      <c r="P201" s="677"/>
    </row>
    <row r="202" spans="2:16">
      <c r="B202" s="334"/>
      <c r="C202" s="725">
        <f>IF(D186="","-",+C201+1)</f>
        <v>2021</v>
      </c>
      <c r="D202" s="676">
        <f t="shared" si="11"/>
        <v>2056549.1525423732</v>
      </c>
      <c r="E202" s="732">
        <f t="shared" si="10"/>
        <v>41130.983050847455</v>
      </c>
      <c r="F202" s="676">
        <f t="shared" si="6"/>
        <v>2015418.1694915257</v>
      </c>
      <c r="G202" s="1277">
        <f t="shared" si="7"/>
        <v>260826.60865320283</v>
      </c>
      <c r="H202" s="1280">
        <f t="shared" si="8"/>
        <v>260826.60865320283</v>
      </c>
      <c r="I202" s="729">
        <f t="shared" si="9"/>
        <v>0</v>
      </c>
      <c r="J202" s="729"/>
      <c r="K202" s="881"/>
      <c r="L202" s="735"/>
      <c r="M202" s="881"/>
      <c r="N202" s="735"/>
      <c r="O202" s="735"/>
      <c r="P202" s="677"/>
    </row>
    <row r="203" spans="2:16">
      <c r="B203" s="334"/>
      <c r="C203" s="725">
        <f>IF(D186="","-",+C202+1)</f>
        <v>2022</v>
      </c>
      <c r="D203" s="676">
        <f t="shared" si="11"/>
        <v>2015418.1694915257</v>
      </c>
      <c r="E203" s="732">
        <f t="shared" si="10"/>
        <v>41130.983050847455</v>
      </c>
      <c r="F203" s="676">
        <f t="shared" si="6"/>
        <v>1974287.1864406783</v>
      </c>
      <c r="G203" s="1277">
        <f t="shared" si="7"/>
        <v>256388.31318648858</v>
      </c>
      <c r="H203" s="1280">
        <f t="shared" si="8"/>
        <v>256388.31318648858</v>
      </c>
      <c r="I203" s="729">
        <f t="shared" si="9"/>
        <v>0</v>
      </c>
      <c r="J203" s="729"/>
      <c r="K203" s="881"/>
      <c r="L203" s="735"/>
      <c r="M203" s="881"/>
      <c r="N203" s="735"/>
      <c r="O203" s="735"/>
      <c r="P203" s="677"/>
    </row>
    <row r="204" spans="2:16">
      <c r="B204" s="334"/>
      <c r="C204" s="725">
        <f>IF(D186="","-",+C203+1)</f>
        <v>2023</v>
      </c>
      <c r="D204" s="676">
        <f t="shared" si="11"/>
        <v>1974287.1864406783</v>
      </c>
      <c r="E204" s="732">
        <f t="shared" si="10"/>
        <v>41130.983050847455</v>
      </c>
      <c r="F204" s="676">
        <f t="shared" si="6"/>
        <v>1933156.2033898309</v>
      </c>
      <c r="G204" s="1277">
        <f t="shared" si="7"/>
        <v>251950.01771977433</v>
      </c>
      <c r="H204" s="1280">
        <f t="shared" si="8"/>
        <v>251950.01771977433</v>
      </c>
      <c r="I204" s="729">
        <f t="shared" si="9"/>
        <v>0</v>
      </c>
      <c r="J204" s="729"/>
      <c r="K204" s="881"/>
      <c r="L204" s="735"/>
      <c r="M204" s="881"/>
      <c r="N204" s="736"/>
      <c r="O204" s="735"/>
      <c r="P204" s="677"/>
    </row>
    <row r="205" spans="2:16">
      <c r="B205" s="334"/>
      <c r="C205" s="725">
        <f>IF(D186="","-",+C204+1)</f>
        <v>2024</v>
      </c>
      <c r="D205" s="676">
        <f t="shared" si="11"/>
        <v>1933156.2033898309</v>
      </c>
      <c r="E205" s="732">
        <f t="shared" si="10"/>
        <v>41130.983050847455</v>
      </c>
      <c r="F205" s="676">
        <f t="shared" si="6"/>
        <v>1892025.2203389835</v>
      </c>
      <c r="G205" s="1277">
        <f t="shared" si="7"/>
        <v>247511.72225306008</v>
      </c>
      <c r="H205" s="1280">
        <f t="shared" si="8"/>
        <v>247511.72225306008</v>
      </c>
      <c r="I205" s="729">
        <f t="shared" si="9"/>
        <v>0</v>
      </c>
      <c r="J205" s="729"/>
      <c r="K205" s="881"/>
      <c r="L205" s="735"/>
      <c r="M205" s="881"/>
      <c r="N205" s="735"/>
      <c r="O205" s="735"/>
      <c r="P205" s="677"/>
    </row>
    <row r="206" spans="2:16">
      <c r="B206" s="334"/>
      <c r="C206" s="725">
        <f>IF(D186="","-",+C205+1)</f>
        <v>2025</v>
      </c>
      <c r="D206" s="676">
        <f t="shared" si="11"/>
        <v>1892025.2203389835</v>
      </c>
      <c r="E206" s="732">
        <f t="shared" si="10"/>
        <v>41130.983050847455</v>
      </c>
      <c r="F206" s="676">
        <f t="shared" si="6"/>
        <v>1850894.237288136</v>
      </c>
      <c r="G206" s="1277">
        <f t="shared" si="7"/>
        <v>243073.42678634584</v>
      </c>
      <c r="H206" s="1280">
        <f t="shared" si="8"/>
        <v>243073.42678634584</v>
      </c>
      <c r="I206" s="729">
        <f t="shared" si="9"/>
        <v>0</v>
      </c>
      <c r="J206" s="729"/>
      <c r="K206" s="881"/>
      <c r="L206" s="735"/>
      <c r="M206" s="881"/>
      <c r="N206" s="735"/>
      <c r="O206" s="735"/>
      <c r="P206" s="677"/>
    </row>
    <row r="207" spans="2:16">
      <c r="B207" s="334"/>
      <c r="C207" s="725">
        <f>IF(D186="","-",+C206+1)</f>
        <v>2026</v>
      </c>
      <c r="D207" s="676">
        <f t="shared" si="11"/>
        <v>1850894.237288136</v>
      </c>
      <c r="E207" s="732">
        <f t="shared" si="10"/>
        <v>41130.983050847455</v>
      </c>
      <c r="F207" s="676">
        <f t="shared" si="6"/>
        <v>1809763.2542372886</v>
      </c>
      <c r="G207" s="1277">
        <f t="shared" si="7"/>
        <v>238635.13131963159</v>
      </c>
      <c r="H207" s="1280">
        <f t="shared" si="8"/>
        <v>238635.13131963159</v>
      </c>
      <c r="I207" s="729">
        <f t="shared" si="9"/>
        <v>0</v>
      </c>
      <c r="J207" s="729"/>
      <c r="K207" s="881"/>
      <c r="L207" s="735"/>
      <c r="M207" s="881"/>
      <c r="N207" s="735"/>
      <c r="O207" s="735"/>
      <c r="P207" s="677"/>
    </row>
    <row r="208" spans="2:16">
      <c r="B208" s="334"/>
      <c r="C208" s="725">
        <f>IF(D186="","-",+C207+1)</f>
        <v>2027</v>
      </c>
      <c r="D208" s="676">
        <f t="shared" si="11"/>
        <v>1809763.2542372886</v>
      </c>
      <c r="E208" s="732">
        <f t="shared" si="10"/>
        <v>41130.983050847455</v>
      </c>
      <c r="F208" s="676">
        <f t="shared" si="6"/>
        <v>1768632.2711864412</v>
      </c>
      <c r="G208" s="1277">
        <f t="shared" si="7"/>
        <v>234196.83585291737</v>
      </c>
      <c r="H208" s="1280">
        <f t="shared" si="8"/>
        <v>234196.83585291737</v>
      </c>
      <c r="I208" s="729">
        <f t="shared" si="9"/>
        <v>0</v>
      </c>
      <c r="J208" s="729"/>
      <c r="K208" s="881"/>
      <c r="L208" s="735"/>
      <c r="M208" s="881"/>
      <c r="N208" s="735"/>
      <c r="O208" s="735"/>
      <c r="P208" s="677"/>
    </row>
    <row r="209" spans="2:16">
      <c r="B209" s="334"/>
      <c r="C209" s="725">
        <f>IF(D186="","-",+C208+1)</f>
        <v>2028</v>
      </c>
      <c r="D209" s="676">
        <f t="shared" si="11"/>
        <v>1768632.2711864412</v>
      </c>
      <c r="E209" s="732">
        <f t="shared" si="10"/>
        <v>41130.983050847455</v>
      </c>
      <c r="F209" s="676">
        <f t="shared" si="6"/>
        <v>1727501.2881355938</v>
      </c>
      <c r="G209" s="1277">
        <f t="shared" si="7"/>
        <v>229758.54038620312</v>
      </c>
      <c r="H209" s="1280">
        <f t="shared" si="8"/>
        <v>229758.54038620312</v>
      </c>
      <c r="I209" s="729">
        <f t="shared" si="9"/>
        <v>0</v>
      </c>
      <c r="J209" s="729"/>
      <c r="K209" s="881"/>
      <c r="L209" s="735"/>
      <c r="M209" s="881"/>
      <c r="N209" s="735"/>
      <c r="O209" s="735"/>
      <c r="P209" s="677"/>
    </row>
    <row r="210" spans="2:16">
      <c r="B210" s="334"/>
      <c r="C210" s="725">
        <f>IF(D186="","-",+C209+1)</f>
        <v>2029</v>
      </c>
      <c r="D210" s="676">
        <f t="shared" si="11"/>
        <v>1727501.2881355938</v>
      </c>
      <c r="E210" s="732">
        <f t="shared" si="10"/>
        <v>41130.983050847455</v>
      </c>
      <c r="F210" s="676">
        <f t="shared" si="6"/>
        <v>1686370.3050847463</v>
      </c>
      <c r="G210" s="1277">
        <f t="shared" si="7"/>
        <v>225320.24491948888</v>
      </c>
      <c r="H210" s="1280">
        <f t="shared" si="8"/>
        <v>225320.24491948888</v>
      </c>
      <c r="I210" s="729">
        <f t="shared" si="9"/>
        <v>0</v>
      </c>
      <c r="J210" s="729"/>
      <c r="K210" s="881"/>
      <c r="L210" s="735"/>
      <c r="M210" s="881"/>
      <c r="N210" s="735"/>
      <c r="O210" s="735"/>
      <c r="P210" s="677"/>
    </row>
    <row r="211" spans="2:16">
      <c r="B211" s="334"/>
      <c r="C211" s="725">
        <f>IF(D186="","-",+C210+1)</f>
        <v>2030</v>
      </c>
      <c r="D211" s="676">
        <f t="shared" si="11"/>
        <v>1686370.3050847463</v>
      </c>
      <c r="E211" s="732">
        <f t="shared" si="10"/>
        <v>41130.983050847455</v>
      </c>
      <c r="F211" s="676">
        <f t="shared" si="6"/>
        <v>1645239.3220338989</v>
      </c>
      <c r="G211" s="1277">
        <f t="shared" si="7"/>
        <v>220881.94945277463</v>
      </c>
      <c r="H211" s="1280">
        <f t="shared" si="8"/>
        <v>220881.94945277463</v>
      </c>
      <c r="I211" s="729">
        <f t="shared" si="9"/>
        <v>0</v>
      </c>
      <c r="J211" s="729"/>
      <c r="K211" s="881"/>
      <c r="L211" s="735"/>
      <c r="M211" s="881"/>
      <c r="N211" s="735"/>
      <c r="O211" s="735"/>
      <c r="P211" s="677"/>
    </row>
    <row r="212" spans="2:16">
      <c r="B212" s="334"/>
      <c r="C212" s="725">
        <f>IF(D186="","-",+C211+1)</f>
        <v>2031</v>
      </c>
      <c r="D212" s="676">
        <f t="shared" si="11"/>
        <v>1645239.3220338989</v>
      </c>
      <c r="E212" s="732">
        <f t="shared" si="10"/>
        <v>41130.983050847455</v>
      </c>
      <c r="F212" s="676">
        <f t="shared" si="6"/>
        <v>1604108.3389830515</v>
      </c>
      <c r="G212" s="1277">
        <f t="shared" si="7"/>
        <v>216443.65398606038</v>
      </c>
      <c r="H212" s="1280">
        <f t="shared" si="8"/>
        <v>216443.65398606038</v>
      </c>
      <c r="I212" s="729">
        <f t="shared" si="9"/>
        <v>0</v>
      </c>
      <c r="J212" s="729"/>
      <c r="K212" s="881"/>
      <c r="L212" s="735"/>
      <c r="M212" s="881"/>
      <c r="N212" s="735"/>
      <c r="O212" s="735"/>
      <c r="P212" s="677"/>
    </row>
    <row r="213" spans="2:16">
      <c r="B213" s="334"/>
      <c r="C213" s="725">
        <f>IF(D186="","-",+C212+1)</f>
        <v>2032</v>
      </c>
      <c r="D213" s="676">
        <f t="shared" si="11"/>
        <v>1604108.3389830515</v>
      </c>
      <c r="E213" s="732">
        <f t="shared" si="10"/>
        <v>41130.983050847455</v>
      </c>
      <c r="F213" s="676">
        <f t="shared" si="6"/>
        <v>1562977.3559322041</v>
      </c>
      <c r="G213" s="1277">
        <f t="shared" si="7"/>
        <v>212005.35851934613</v>
      </c>
      <c r="H213" s="1280">
        <f t="shared" si="8"/>
        <v>212005.35851934613</v>
      </c>
      <c r="I213" s="729">
        <f t="shared" si="9"/>
        <v>0</v>
      </c>
      <c r="J213" s="729"/>
      <c r="K213" s="881"/>
      <c r="L213" s="735"/>
      <c r="M213" s="881"/>
      <c r="N213" s="735"/>
      <c r="O213" s="735"/>
      <c r="P213" s="677"/>
    </row>
    <row r="214" spans="2:16">
      <c r="B214" s="334"/>
      <c r="C214" s="725">
        <f>IF(D186="","-",+C213+1)</f>
        <v>2033</v>
      </c>
      <c r="D214" s="676">
        <f t="shared" si="11"/>
        <v>1562977.3559322041</v>
      </c>
      <c r="E214" s="732">
        <f t="shared" si="10"/>
        <v>41130.983050847455</v>
      </c>
      <c r="F214" s="676">
        <f t="shared" si="6"/>
        <v>1521846.3728813566</v>
      </c>
      <c r="G214" s="1277">
        <f t="shared" si="7"/>
        <v>207567.06305263189</v>
      </c>
      <c r="H214" s="1280">
        <f t="shared" si="8"/>
        <v>207567.06305263189</v>
      </c>
      <c r="I214" s="729">
        <f t="shared" si="9"/>
        <v>0</v>
      </c>
      <c r="J214" s="729"/>
      <c r="K214" s="881"/>
      <c r="L214" s="735"/>
      <c r="M214" s="881"/>
      <c r="N214" s="735"/>
      <c r="O214" s="735"/>
      <c r="P214" s="677"/>
    </row>
    <row r="215" spans="2:16">
      <c r="B215" s="334"/>
      <c r="C215" s="725">
        <f>IF(D186="","-",+C214+1)</f>
        <v>2034</v>
      </c>
      <c r="D215" s="676">
        <f t="shared" si="11"/>
        <v>1521846.3728813566</v>
      </c>
      <c r="E215" s="732">
        <f t="shared" si="10"/>
        <v>41130.983050847455</v>
      </c>
      <c r="F215" s="676">
        <f t="shared" si="6"/>
        <v>1480715.3898305092</v>
      </c>
      <c r="G215" s="1277">
        <f t="shared" si="7"/>
        <v>203128.76758591764</v>
      </c>
      <c r="H215" s="1280">
        <f t="shared" si="8"/>
        <v>203128.76758591764</v>
      </c>
      <c r="I215" s="729">
        <f t="shared" si="9"/>
        <v>0</v>
      </c>
      <c r="J215" s="729"/>
      <c r="K215" s="881"/>
      <c r="L215" s="735"/>
      <c r="M215" s="881"/>
      <c r="N215" s="735"/>
      <c r="O215" s="735"/>
      <c r="P215" s="677"/>
    </row>
    <row r="216" spans="2:16">
      <c r="B216" s="334"/>
      <c r="C216" s="725">
        <f>IF(D186="","-",+C215+1)</f>
        <v>2035</v>
      </c>
      <c r="D216" s="676">
        <f t="shared" si="11"/>
        <v>1480715.3898305092</v>
      </c>
      <c r="E216" s="732">
        <f t="shared" si="10"/>
        <v>41130.983050847455</v>
      </c>
      <c r="F216" s="676">
        <f t="shared" si="6"/>
        <v>1439584.4067796618</v>
      </c>
      <c r="G216" s="1277">
        <f t="shared" si="7"/>
        <v>198690.47211920339</v>
      </c>
      <c r="H216" s="1280">
        <f t="shared" si="8"/>
        <v>198690.47211920339</v>
      </c>
      <c r="I216" s="729">
        <f t="shared" si="9"/>
        <v>0</v>
      </c>
      <c r="J216" s="729"/>
      <c r="K216" s="881"/>
      <c r="L216" s="735"/>
      <c r="M216" s="881"/>
      <c r="N216" s="735"/>
      <c r="O216" s="735"/>
      <c r="P216" s="677"/>
    </row>
    <row r="217" spans="2:16">
      <c r="B217" s="334"/>
      <c r="C217" s="725">
        <f>IF(D186="","-",+C216+1)</f>
        <v>2036</v>
      </c>
      <c r="D217" s="676">
        <f t="shared" si="11"/>
        <v>1439584.4067796618</v>
      </c>
      <c r="E217" s="732">
        <f t="shared" si="10"/>
        <v>41130.983050847455</v>
      </c>
      <c r="F217" s="676">
        <f t="shared" si="6"/>
        <v>1398453.4237288143</v>
      </c>
      <c r="G217" s="1277">
        <f t="shared" si="7"/>
        <v>194252.17665248914</v>
      </c>
      <c r="H217" s="1280">
        <f t="shared" si="8"/>
        <v>194252.17665248914</v>
      </c>
      <c r="I217" s="729">
        <f t="shared" si="9"/>
        <v>0</v>
      </c>
      <c r="J217" s="729"/>
      <c r="K217" s="881"/>
      <c r="L217" s="735"/>
      <c r="M217" s="881"/>
      <c r="N217" s="735"/>
      <c r="O217" s="735"/>
      <c r="P217" s="677"/>
    </row>
    <row r="218" spans="2:16">
      <c r="B218" s="334"/>
      <c r="C218" s="725">
        <f>IF(D186="","-",+C217+1)</f>
        <v>2037</v>
      </c>
      <c r="D218" s="676">
        <f t="shared" si="11"/>
        <v>1398453.4237288143</v>
      </c>
      <c r="E218" s="732">
        <f t="shared" si="10"/>
        <v>41130.983050847455</v>
      </c>
      <c r="F218" s="676">
        <f t="shared" si="6"/>
        <v>1357322.4406779669</v>
      </c>
      <c r="G218" s="1277">
        <f t="shared" si="7"/>
        <v>189813.8811857749</v>
      </c>
      <c r="H218" s="1280">
        <f t="shared" si="8"/>
        <v>189813.8811857749</v>
      </c>
      <c r="I218" s="729">
        <f t="shared" si="9"/>
        <v>0</v>
      </c>
      <c r="J218" s="729"/>
      <c r="K218" s="881"/>
      <c r="L218" s="735"/>
      <c r="M218" s="881"/>
      <c r="N218" s="735"/>
      <c r="O218" s="735"/>
      <c r="P218" s="677"/>
    </row>
    <row r="219" spans="2:16">
      <c r="B219" s="334"/>
      <c r="C219" s="725">
        <f>IF(D186="","-",+C218+1)</f>
        <v>2038</v>
      </c>
      <c r="D219" s="676">
        <f t="shared" si="11"/>
        <v>1357322.4406779669</v>
      </c>
      <c r="E219" s="732">
        <f t="shared" si="10"/>
        <v>41130.983050847455</v>
      </c>
      <c r="F219" s="676">
        <f t="shared" si="6"/>
        <v>1316191.4576271195</v>
      </c>
      <c r="G219" s="1277">
        <f t="shared" si="7"/>
        <v>185375.58571906065</v>
      </c>
      <c r="H219" s="1280">
        <f t="shared" si="8"/>
        <v>185375.58571906065</v>
      </c>
      <c r="I219" s="729">
        <f t="shared" si="9"/>
        <v>0</v>
      </c>
      <c r="J219" s="729"/>
      <c r="K219" s="881"/>
      <c r="L219" s="735"/>
      <c r="M219" s="881"/>
      <c r="N219" s="735"/>
      <c r="O219" s="735"/>
      <c r="P219" s="677"/>
    </row>
    <row r="220" spans="2:16">
      <c r="B220" s="334"/>
      <c r="C220" s="725">
        <f>IF(D186="","-",+C219+1)</f>
        <v>2039</v>
      </c>
      <c r="D220" s="676">
        <f t="shared" si="11"/>
        <v>1316191.4576271195</v>
      </c>
      <c r="E220" s="732">
        <f t="shared" si="10"/>
        <v>41130.983050847455</v>
      </c>
      <c r="F220" s="676">
        <f t="shared" si="6"/>
        <v>1275060.4745762721</v>
      </c>
      <c r="G220" s="1286">
        <f t="shared" si="7"/>
        <v>180937.2902523464</v>
      </c>
      <c r="H220" s="1280">
        <f t="shared" si="8"/>
        <v>180937.2902523464</v>
      </c>
      <c r="I220" s="729">
        <f t="shared" si="9"/>
        <v>0</v>
      </c>
      <c r="J220" s="729"/>
      <c r="K220" s="881"/>
      <c r="L220" s="735"/>
      <c r="M220" s="881"/>
      <c r="N220" s="735"/>
      <c r="O220" s="735"/>
      <c r="P220" s="677"/>
    </row>
    <row r="221" spans="2:16">
      <c r="B221" s="334"/>
      <c r="C221" s="725">
        <f>IF(D186="","-",+C220+1)</f>
        <v>2040</v>
      </c>
      <c r="D221" s="676">
        <f t="shared" si="11"/>
        <v>1275060.4745762721</v>
      </c>
      <c r="E221" s="732">
        <f t="shared" si="10"/>
        <v>41130.983050847455</v>
      </c>
      <c r="F221" s="676">
        <f t="shared" si="6"/>
        <v>1233929.4915254246</v>
      </c>
      <c r="G221" s="1277">
        <f t="shared" si="7"/>
        <v>176498.99478563215</v>
      </c>
      <c r="H221" s="1280">
        <f t="shared" si="8"/>
        <v>176498.99478563215</v>
      </c>
      <c r="I221" s="729">
        <f t="shared" si="9"/>
        <v>0</v>
      </c>
      <c r="J221" s="729"/>
      <c r="K221" s="881"/>
      <c r="L221" s="735"/>
      <c r="M221" s="881"/>
      <c r="N221" s="735"/>
      <c r="O221" s="735"/>
      <c r="P221" s="677"/>
    </row>
    <row r="222" spans="2:16">
      <c r="B222" s="334"/>
      <c r="C222" s="725">
        <f>IF(D186="","-",+C221+1)</f>
        <v>2041</v>
      </c>
      <c r="D222" s="676">
        <f t="shared" si="11"/>
        <v>1233929.4915254246</v>
      </c>
      <c r="E222" s="732">
        <f t="shared" si="10"/>
        <v>41130.983050847455</v>
      </c>
      <c r="F222" s="676">
        <f t="shared" si="6"/>
        <v>1192798.5084745772</v>
      </c>
      <c r="G222" s="1277">
        <f t="shared" si="7"/>
        <v>172060.69931891793</v>
      </c>
      <c r="H222" s="1280">
        <f t="shared" si="8"/>
        <v>172060.69931891793</v>
      </c>
      <c r="I222" s="729">
        <f t="shared" si="9"/>
        <v>0</v>
      </c>
      <c r="J222" s="729"/>
      <c r="K222" s="881"/>
      <c r="L222" s="735"/>
      <c r="M222" s="881"/>
      <c r="N222" s="735"/>
      <c r="O222" s="735"/>
      <c r="P222" s="677"/>
    </row>
    <row r="223" spans="2:16">
      <c r="B223" s="334"/>
      <c r="C223" s="725">
        <f>IF(D186="","-",+C222+1)</f>
        <v>2042</v>
      </c>
      <c r="D223" s="676">
        <f t="shared" si="11"/>
        <v>1192798.5084745772</v>
      </c>
      <c r="E223" s="732">
        <f t="shared" si="10"/>
        <v>41130.983050847455</v>
      </c>
      <c r="F223" s="676">
        <f t="shared" si="6"/>
        <v>1151667.5254237298</v>
      </c>
      <c r="G223" s="1277">
        <f t="shared" si="7"/>
        <v>167622.40385220369</v>
      </c>
      <c r="H223" s="1280">
        <f t="shared" si="8"/>
        <v>167622.40385220369</v>
      </c>
      <c r="I223" s="729">
        <f t="shared" si="9"/>
        <v>0</v>
      </c>
      <c r="J223" s="729"/>
      <c r="K223" s="881"/>
      <c r="L223" s="735"/>
      <c r="M223" s="881"/>
      <c r="N223" s="735"/>
      <c r="O223" s="735"/>
      <c r="P223" s="677"/>
    </row>
    <row r="224" spans="2:16">
      <c r="B224" s="334"/>
      <c r="C224" s="725">
        <f>IF(D186="","-",+C223+1)</f>
        <v>2043</v>
      </c>
      <c r="D224" s="676">
        <f t="shared" si="11"/>
        <v>1151667.5254237298</v>
      </c>
      <c r="E224" s="732">
        <f t="shared" si="10"/>
        <v>41130.983050847455</v>
      </c>
      <c r="F224" s="676">
        <f t="shared" si="6"/>
        <v>1110536.5423728824</v>
      </c>
      <c r="G224" s="1277">
        <f t="shared" si="7"/>
        <v>163184.10838548944</v>
      </c>
      <c r="H224" s="1280">
        <f t="shared" si="8"/>
        <v>163184.10838548944</v>
      </c>
      <c r="I224" s="729">
        <f t="shared" si="9"/>
        <v>0</v>
      </c>
      <c r="J224" s="729"/>
      <c r="K224" s="881"/>
      <c r="L224" s="735"/>
      <c r="M224" s="881"/>
      <c r="N224" s="735"/>
      <c r="O224" s="735"/>
      <c r="P224" s="677"/>
    </row>
    <row r="225" spans="2:16">
      <c r="B225" s="334"/>
      <c r="C225" s="725">
        <f>IF(D186="","-",+C224+1)</f>
        <v>2044</v>
      </c>
      <c r="D225" s="676">
        <f t="shared" si="11"/>
        <v>1110536.5423728824</v>
      </c>
      <c r="E225" s="732">
        <f t="shared" si="10"/>
        <v>41130.983050847455</v>
      </c>
      <c r="F225" s="676">
        <f t="shared" si="6"/>
        <v>1069405.5593220349</v>
      </c>
      <c r="G225" s="1277">
        <f t="shared" si="7"/>
        <v>158745.81291877519</v>
      </c>
      <c r="H225" s="1280">
        <f t="shared" si="8"/>
        <v>158745.81291877519</v>
      </c>
      <c r="I225" s="729">
        <f t="shared" si="9"/>
        <v>0</v>
      </c>
      <c r="J225" s="729"/>
      <c r="K225" s="881"/>
      <c r="L225" s="735"/>
      <c r="M225" s="881"/>
      <c r="N225" s="735"/>
      <c r="O225" s="735"/>
      <c r="P225" s="677"/>
    </row>
    <row r="226" spans="2:16">
      <c r="B226" s="334"/>
      <c r="C226" s="725">
        <f>IF(D186="","-",+C225+1)</f>
        <v>2045</v>
      </c>
      <c r="D226" s="676">
        <f t="shared" si="11"/>
        <v>1069405.5593220349</v>
      </c>
      <c r="E226" s="732">
        <f t="shared" si="10"/>
        <v>41130.983050847455</v>
      </c>
      <c r="F226" s="676">
        <f t="shared" si="6"/>
        <v>1028274.5762711875</v>
      </c>
      <c r="G226" s="1277">
        <f t="shared" si="7"/>
        <v>154307.51745206094</v>
      </c>
      <c r="H226" s="1280">
        <f t="shared" si="8"/>
        <v>154307.51745206094</v>
      </c>
      <c r="I226" s="729">
        <f t="shared" si="9"/>
        <v>0</v>
      </c>
      <c r="J226" s="729"/>
      <c r="K226" s="881"/>
      <c r="L226" s="735"/>
      <c r="M226" s="881"/>
      <c r="N226" s="735"/>
      <c r="O226" s="735"/>
      <c r="P226" s="677"/>
    </row>
    <row r="227" spans="2:16">
      <c r="B227" s="334"/>
      <c r="C227" s="725">
        <f>IF(D186="","-",+C226+1)</f>
        <v>2046</v>
      </c>
      <c r="D227" s="676">
        <f t="shared" si="11"/>
        <v>1028274.5762711875</v>
      </c>
      <c r="E227" s="732">
        <f t="shared" si="10"/>
        <v>41130.983050847455</v>
      </c>
      <c r="F227" s="676">
        <f t="shared" si="6"/>
        <v>987143.59322034009</v>
      </c>
      <c r="G227" s="1277">
        <f t="shared" si="7"/>
        <v>149869.2219853467</v>
      </c>
      <c r="H227" s="1280">
        <f t="shared" si="8"/>
        <v>149869.2219853467</v>
      </c>
      <c r="I227" s="729">
        <f t="shared" si="9"/>
        <v>0</v>
      </c>
      <c r="J227" s="729"/>
      <c r="K227" s="881"/>
      <c r="L227" s="735"/>
      <c r="M227" s="881"/>
      <c r="N227" s="735"/>
      <c r="O227" s="735"/>
      <c r="P227" s="677"/>
    </row>
    <row r="228" spans="2:16">
      <c r="B228" s="334"/>
      <c r="C228" s="725">
        <f>IF(D186="","-",+C227+1)</f>
        <v>2047</v>
      </c>
      <c r="D228" s="676">
        <f t="shared" si="11"/>
        <v>987143.59322034009</v>
      </c>
      <c r="E228" s="732">
        <f t="shared" si="10"/>
        <v>41130.983050847455</v>
      </c>
      <c r="F228" s="676">
        <f t="shared" si="6"/>
        <v>946012.61016949266</v>
      </c>
      <c r="G228" s="1277">
        <f t="shared" si="7"/>
        <v>145430.92651863245</v>
      </c>
      <c r="H228" s="1280">
        <f t="shared" si="8"/>
        <v>145430.92651863245</v>
      </c>
      <c r="I228" s="729">
        <f t="shared" si="9"/>
        <v>0</v>
      </c>
      <c r="J228" s="729"/>
      <c r="K228" s="881"/>
      <c r="L228" s="735"/>
      <c r="M228" s="881"/>
      <c r="N228" s="735"/>
      <c r="O228" s="735"/>
      <c r="P228" s="677"/>
    </row>
    <row r="229" spans="2:16">
      <c r="B229" s="334"/>
      <c r="C229" s="725">
        <f>IF(D186="","-",+C228+1)</f>
        <v>2048</v>
      </c>
      <c r="D229" s="676">
        <f t="shared" si="11"/>
        <v>946012.61016949266</v>
      </c>
      <c r="E229" s="732">
        <f t="shared" si="10"/>
        <v>41130.983050847455</v>
      </c>
      <c r="F229" s="676">
        <f t="shared" si="6"/>
        <v>904881.62711864524</v>
      </c>
      <c r="G229" s="1277">
        <f t="shared" si="7"/>
        <v>140992.6310519182</v>
      </c>
      <c r="H229" s="1280">
        <f t="shared" si="8"/>
        <v>140992.6310519182</v>
      </c>
      <c r="I229" s="729">
        <f t="shared" si="9"/>
        <v>0</v>
      </c>
      <c r="J229" s="729"/>
      <c r="K229" s="881"/>
      <c r="L229" s="735"/>
      <c r="M229" s="881"/>
      <c r="N229" s="735"/>
      <c r="O229" s="735"/>
      <c r="P229" s="677"/>
    </row>
    <row r="230" spans="2:16">
      <c r="B230" s="334"/>
      <c r="C230" s="725">
        <f>IF(D186="","-",+C229+1)</f>
        <v>2049</v>
      </c>
      <c r="D230" s="676">
        <f t="shared" si="11"/>
        <v>904881.62711864524</v>
      </c>
      <c r="E230" s="732">
        <f t="shared" si="10"/>
        <v>41130.983050847455</v>
      </c>
      <c r="F230" s="676">
        <f t="shared" si="6"/>
        <v>863750.64406779781</v>
      </c>
      <c r="G230" s="1277">
        <f t="shared" si="7"/>
        <v>136554.33558520395</v>
      </c>
      <c r="H230" s="1280">
        <f t="shared" si="8"/>
        <v>136554.33558520395</v>
      </c>
      <c r="I230" s="729">
        <f t="shared" si="9"/>
        <v>0</v>
      </c>
      <c r="J230" s="729"/>
      <c r="K230" s="881"/>
      <c r="L230" s="735"/>
      <c r="M230" s="881"/>
      <c r="N230" s="735"/>
      <c r="O230" s="735"/>
      <c r="P230" s="677"/>
    </row>
    <row r="231" spans="2:16">
      <c r="B231" s="334"/>
      <c r="C231" s="725">
        <f>IF(D186="","-",+C230+1)</f>
        <v>2050</v>
      </c>
      <c r="D231" s="676">
        <f t="shared" si="11"/>
        <v>863750.64406779781</v>
      </c>
      <c r="E231" s="732">
        <f t="shared" si="10"/>
        <v>41130.983050847455</v>
      </c>
      <c r="F231" s="676">
        <f t="shared" si="6"/>
        <v>822619.66101695038</v>
      </c>
      <c r="G231" s="1277">
        <f t="shared" si="7"/>
        <v>132116.04011848971</v>
      </c>
      <c r="H231" s="1280">
        <f t="shared" si="8"/>
        <v>132116.04011848971</v>
      </c>
      <c r="I231" s="729">
        <f t="shared" si="9"/>
        <v>0</v>
      </c>
      <c r="J231" s="729"/>
      <c r="K231" s="881"/>
      <c r="L231" s="735"/>
      <c r="M231" s="881"/>
      <c r="N231" s="735"/>
      <c r="O231" s="735"/>
      <c r="P231" s="677"/>
    </row>
    <row r="232" spans="2:16">
      <c r="B232" s="334"/>
      <c r="C232" s="725">
        <f>IF(D186="","-",+C231+1)</f>
        <v>2051</v>
      </c>
      <c r="D232" s="676">
        <f t="shared" si="11"/>
        <v>822619.66101695038</v>
      </c>
      <c r="E232" s="732">
        <f t="shared" si="10"/>
        <v>41130.983050847455</v>
      </c>
      <c r="F232" s="676">
        <f t="shared" si="6"/>
        <v>781488.67796610296</v>
      </c>
      <c r="G232" s="1277">
        <f t="shared" si="7"/>
        <v>127677.74465177546</v>
      </c>
      <c r="H232" s="1280">
        <f t="shared" si="8"/>
        <v>127677.74465177546</v>
      </c>
      <c r="I232" s="729">
        <f t="shared" si="9"/>
        <v>0</v>
      </c>
      <c r="J232" s="729"/>
      <c r="K232" s="881"/>
      <c r="L232" s="735"/>
      <c r="M232" s="881"/>
      <c r="N232" s="735"/>
      <c r="O232" s="735"/>
      <c r="P232" s="677"/>
    </row>
    <row r="233" spans="2:16">
      <c r="B233" s="334"/>
      <c r="C233" s="725">
        <f>IF(D186="","-",+C232+1)</f>
        <v>2052</v>
      </c>
      <c r="D233" s="676">
        <f t="shared" si="11"/>
        <v>781488.67796610296</v>
      </c>
      <c r="E233" s="732">
        <f t="shared" si="10"/>
        <v>41130.983050847455</v>
      </c>
      <c r="F233" s="676">
        <f t="shared" si="6"/>
        <v>740357.69491525553</v>
      </c>
      <c r="G233" s="1277">
        <f t="shared" si="7"/>
        <v>123239.44918506121</v>
      </c>
      <c r="H233" s="1280">
        <f t="shared" si="8"/>
        <v>123239.44918506121</v>
      </c>
      <c r="I233" s="729">
        <f t="shared" si="9"/>
        <v>0</v>
      </c>
      <c r="J233" s="729"/>
      <c r="K233" s="881"/>
      <c r="L233" s="735"/>
      <c r="M233" s="881"/>
      <c r="N233" s="735"/>
      <c r="O233" s="735"/>
      <c r="P233" s="677"/>
    </row>
    <row r="234" spans="2:16">
      <c r="B234" s="334"/>
      <c r="C234" s="725">
        <f>IF(D186="","-",+C233+1)</f>
        <v>2053</v>
      </c>
      <c r="D234" s="676">
        <f t="shared" si="11"/>
        <v>740357.69491525553</v>
      </c>
      <c r="E234" s="732">
        <f t="shared" si="10"/>
        <v>41130.983050847455</v>
      </c>
      <c r="F234" s="676">
        <f t="shared" si="6"/>
        <v>699226.71186440811</v>
      </c>
      <c r="G234" s="1277">
        <f t="shared" si="7"/>
        <v>118801.15371834696</v>
      </c>
      <c r="H234" s="1280">
        <f t="shared" si="8"/>
        <v>118801.15371834696</v>
      </c>
      <c r="I234" s="729">
        <f t="shared" si="9"/>
        <v>0</v>
      </c>
      <c r="J234" s="729"/>
      <c r="K234" s="881"/>
      <c r="L234" s="735"/>
      <c r="M234" s="881"/>
      <c r="N234" s="735"/>
      <c r="O234" s="735"/>
      <c r="P234" s="677"/>
    </row>
    <row r="235" spans="2:16">
      <c r="B235" s="334"/>
      <c r="C235" s="725">
        <f>IF(D186="","-",+C234+1)</f>
        <v>2054</v>
      </c>
      <c r="D235" s="676">
        <f t="shared" si="11"/>
        <v>699226.71186440811</v>
      </c>
      <c r="E235" s="732">
        <f t="shared" si="10"/>
        <v>41130.983050847455</v>
      </c>
      <c r="F235" s="676">
        <f t="shared" si="6"/>
        <v>658095.72881356068</v>
      </c>
      <c r="G235" s="1277">
        <f t="shared" si="7"/>
        <v>114362.85825163272</v>
      </c>
      <c r="H235" s="1280">
        <f t="shared" si="8"/>
        <v>114362.85825163272</v>
      </c>
      <c r="I235" s="729">
        <f t="shared" si="9"/>
        <v>0</v>
      </c>
      <c r="J235" s="729"/>
      <c r="K235" s="881"/>
      <c r="L235" s="735"/>
      <c r="M235" s="881"/>
      <c r="N235" s="735"/>
      <c r="O235" s="735"/>
      <c r="P235" s="677"/>
    </row>
    <row r="236" spans="2:16">
      <c r="B236" s="334"/>
      <c r="C236" s="725">
        <f>IF(D186="","-",+C235+1)</f>
        <v>2055</v>
      </c>
      <c r="D236" s="676">
        <f t="shared" si="11"/>
        <v>658095.72881356068</v>
      </c>
      <c r="E236" s="732">
        <f t="shared" si="10"/>
        <v>41130.983050847455</v>
      </c>
      <c r="F236" s="676">
        <f t="shared" si="6"/>
        <v>616964.74576271325</v>
      </c>
      <c r="G236" s="1277">
        <f t="shared" si="7"/>
        <v>109924.56278491847</v>
      </c>
      <c r="H236" s="1280">
        <f t="shared" si="8"/>
        <v>109924.56278491847</v>
      </c>
      <c r="I236" s="729">
        <f t="shared" si="9"/>
        <v>0</v>
      </c>
      <c r="J236" s="729"/>
      <c r="K236" s="881"/>
      <c r="L236" s="735"/>
      <c r="M236" s="881"/>
      <c r="N236" s="735"/>
      <c r="O236" s="735"/>
      <c r="P236" s="677"/>
    </row>
    <row r="237" spans="2:16">
      <c r="B237" s="334"/>
      <c r="C237" s="725">
        <f>IF(D186="","-",+C236+1)</f>
        <v>2056</v>
      </c>
      <c r="D237" s="676">
        <f t="shared" si="11"/>
        <v>616964.74576271325</v>
      </c>
      <c r="E237" s="732">
        <f t="shared" si="10"/>
        <v>41130.983050847455</v>
      </c>
      <c r="F237" s="676">
        <f t="shared" si="6"/>
        <v>575833.76271186583</v>
      </c>
      <c r="G237" s="1277">
        <f t="shared" si="7"/>
        <v>105486.26731820422</v>
      </c>
      <c r="H237" s="1280">
        <f t="shared" si="8"/>
        <v>105486.26731820422</v>
      </c>
      <c r="I237" s="729">
        <f t="shared" si="9"/>
        <v>0</v>
      </c>
      <c r="J237" s="729"/>
      <c r="K237" s="881"/>
      <c r="L237" s="735"/>
      <c r="M237" s="881"/>
      <c r="N237" s="735"/>
      <c r="O237" s="735"/>
      <c r="P237" s="677"/>
    </row>
    <row r="238" spans="2:16">
      <c r="B238" s="334"/>
      <c r="C238" s="725">
        <f>IF(D186="","-",+C237+1)</f>
        <v>2057</v>
      </c>
      <c r="D238" s="676">
        <f t="shared" si="11"/>
        <v>575833.76271186583</v>
      </c>
      <c r="E238" s="732">
        <f t="shared" si="10"/>
        <v>41130.983050847455</v>
      </c>
      <c r="F238" s="676">
        <f t="shared" si="6"/>
        <v>534702.7796610184</v>
      </c>
      <c r="G238" s="1277">
        <f t="shared" si="7"/>
        <v>101047.97185148997</v>
      </c>
      <c r="H238" s="1280">
        <f t="shared" si="8"/>
        <v>101047.97185148997</v>
      </c>
      <c r="I238" s="729">
        <f t="shared" si="9"/>
        <v>0</v>
      </c>
      <c r="J238" s="729"/>
      <c r="K238" s="881"/>
      <c r="L238" s="735"/>
      <c r="M238" s="881"/>
      <c r="N238" s="735"/>
      <c r="O238" s="735"/>
      <c r="P238" s="677"/>
    </row>
    <row r="239" spans="2:16">
      <c r="B239" s="334"/>
      <c r="C239" s="725">
        <f>IF(D186="","-",+C238+1)</f>
        <v>2058</v>
      </c>
      <c r="D239" s="676">
        <f t="shared" si="11"/>
        <v>534702.7796610184</v>
      </c>
      <c r="E239" s="732">
        <f t="shared" si="10"/>
        <v>41130.983050847455</v>
      </c>
      <c r="F239" s="676">
        <f t="shared" si="6"/>
        <v>493571.79661017098</v>
      </c>
      <c r="G239" s="1277">
        <f t="shared" si="7"/>
        <v>96609.676384775725</v>
      </c>
      <c r="H239" s="1280">
        <f t="shared" si="8"/>
        <v>96609.676384775725</v>
      </c>
      <c r="I239" s="729">
        <f t="shared" si="9"/>
        <v>0</v>
      </c>
      <c r="J239" s="729"/>
      <c r="K239" s="881"/>
      <c r="L239" s="735"/>
      <c r="M239" s="881"/>
      <c r="N239" s="735"/>
      <c r="O239" s="735"/>
      <c r="P239" s="677"/>
    </row>
    <row r="240" spans="2:16">
      <c r="B240" s="334"/>
      <c r="C240" s="725">
        <f>IF(D186="","-",+C239+1)</f>
        <v>2059</v>
      </c>
      <c r="D240" s="676">
        <f t="shared" si="11"/>
        <v>493571.79661017098</v>
      </c>
      <c r="E240" s="732">
        <f t="shared" si="10"/>
        <v>41130.983050847455</v>
      </c>
      <c r="F240" s="676">
        <f t="shared" si="6"/>
        <v>452440.81355932355</v>
      </c>
      <c r="G240" s="1277">
        <f t="shared" si="7"/>
        <v>92171.380918061477</v>
      </c>
      <c r="H240" s="1280">
        <f t="shared" si="8"/>
        <v>92171.380918061477</v>
      </c>
      <c r="I240" s="729">
        <f t="shared" si="9"/>
        <v>0</v>
      </c>
      <c r="J240" s="729"/>
      <c r="K240" s="881"/>
      <c r="L240" s="735"/>
      <c r="M240" s="881"/>
      <c r="N240" s="735"/>
      <c r="O240" s="735"/>
      <c r="P240" s="677"/>
    </row>
    <row r="241" spans="2:16">
      <c r="B241" s="334"/>
      <c r="C241" s="725">
        <f>IF(D186="","-",+C240+1)</f>
        <v>2060</v>
      </c>
      <c r="D241" s="676">
        <f t="shared" si="11"/>
        <v>452440.81355932355</v>
      </c>
      <c r="E241" s="732">
        <f t="shared" si="10"/>
        <v>41130.983050847455</v>
      </c>
      <c r="F241" s="676">
        <f t="shared" si="6"/>
        <v>411309.83050847612</v>
      </c>
      <c r="G241" s="1277">
        <f t="shared" si="7"/>
        <v>87733.08545134723</v>
      </c>
      <c r="H241" s="1280">
        <f t="shared" si="8"/>
        <v>87733.08545134723</v>
      </c>
      <c r="I241" s="729">
        <f t="shared" si="9"/>
        <v>0</v>
      </c>
      <c r="J241" s="729"/>
      <c r="K241" s="881"/>
      <c r="L241" s="735"/>
      <c r="M241" s="881"/>
      <c r="N241" s="735"/>
      <c r="O241" s="735"/>
      <c r="P241" s="677"/>
    </row>
    <row r="242" spans="2:16">
      <c r="B242" s="334"/>
      <c r="C242" s="725">
        <f>IF(D186="","-",+C241+1)</f>
        <v>2061</v>
      </c>
      <c r="D242" s="676">
        <f t="shared" si="11"/>
        <v>411309.83050847612</v>
      </c>
      <c r="E242" s="732">
        <f t="shared" si="10"/>
        <v>41130.983050847455</v>
      </c>
      <c r="F242" s="676">
        <f t="shared" si="6"/>
        <v>370178.8474576287</v>
      </c>
      <c r="G242" s="1277">
        <f t="shared" si="7"/>
        <v>83294.789984632996</v>
      </c>
      <c r="H242" s="1280">
        <f t="shared" si="8"/>
        <v>83294.789984632996</v>
      </c>
      <c r="I242" s="729">
        <f t="shared" si="9"/>
        <v>0</v>
      </c>
      <c r="J242" s="729"/>
      <c r="K242" s="881"/>
      <c r="L242" s="735"/>
      <c r="M242" s="881"/>
      <c r="N242" s="735"/>
      <c r="O242" s="735"/>
      <c r="P242" s="677"/>
    </row>
    <row r="243" spans="2:16">
      <c r="B243" s="334"/>
      <c r="C243" s="725">
        <f>IF(D186="","-",+C242+1)</f>
        <v>2062</v>
      </c>
      <c r="D243" s="676">
        <f t="shared" si="11"/>
        <v>370178.8474576287</v>
      </c>
      <c r="E243" s="732">
        <f t="shared" si="10"/>
        <v>41130.983050847455</v>
      </c>
      <c r="F243" s="676">
        <f t="shared" si="6"/>
        <v>329047.86440678127</v>
      </c>
      <c r="G243" s="1277">
        <f t="shared" si="7"/>
        <v>78856.494517918749</v>
      </c>
      <c r="H243" s="1280">
        <f t="shared" si="8"/>
        <v>78856.494517918749</v>
      </c>
      <c r="I243" s="729">
        <f t="shared" si="9"/>
        <v>0</v>
      </c>
      <c r="J243" s="729"/>
      <c r="K243" s="881"/>
      <c r="L243" s="735"/>
      <c r="M243" s="881"/>
      <c r="N243" s="735"/>
      <c r="O243" s="735"/>
      <c r="P243" s="677"/>
    </row>
    <row r="244" spans="2:16">
      <c r="B244" s="334"/>
      <c r="C244" s="725">
        <f>IF(D186="","-",+C243+1)</f>
        <v>2063</v>
      </c>
      <c r="D244" s="676">
        <f t="shared" si="11"/>
        <v>329047.86440678127</v>
      </c>
      <c r="E244" s="732">
        <f t="shared" si="10"/>
        <v>41130.983050847455</v>
      </c>
      <c r="F244" s="676">
        <f t="shared" si="6"/>
        <v>287916.88135593385</v>
      </c>
      <c r="G244" s="1277">
        <f t="shared" si="7"/>
        <v>74418.199051204501</v>
      </c>
      <c r="H244" s="1280">
        <f t="shared" si="8"/>
        <v>74418.199051204501</v>
      </c>
      <c r="I244" s="729">
        <f t="shared" si="9"/>
        <v>0</v>
      </c>
      <c r="J244" s="729"/>
      <c r="K244" s="881"/>
      <c r="L244" s="735"/>
      <c r="M244" s="881"/>
      <c r="N244" s="735"/>
      <c r="O244" s="735"/>
      <c r="P244" s="677"/>
    </row>
    <row r="245" spans="2:16">
      <c r="B245" s="334"/>
      <c r="C245" s="725">
        <f>IF(D186="","-",+C244+1)</f>
        <v>2064</v>
      </c>
      <c r="D245" s="676">
        <f t="shared" si="11"/>
        <v>287916.88135593385</v>
      </c>
      <c r="E245" s="732">
        <f t="shared" si="10"/>
        <v>41130.983050847455</v>
      </c>
      <c r="F245" s="676">
        <f t="shared" si="6"/>
        <v>246785.89830508639</v>
      </c>
      <c r="G245" s="1277">
        <f t="shared" si="7"/>
        <v>69979.903584490254</v>
      </c>
      <c r="H245" s="1280">
        <f t="shared" si="8"/>
        <v>69979.903584490254</v>
      </c>
      <c r="I245" s="729">
        <f t="shared" si="9"/>
        <v>0</v>
      </c>
      <c r="J245" s="729"/>
      <c r="K245" s="881"/>
      <c r="L245" s="735"/>
      <c r="M245" s="881"/>
      <c r="N245" s="735"/>
      <c r="O245" s="735"/>
      <c r="P245" s="677"/>
    </row>
    <row r="246" spans="2:16">
      <c r="B246" s="334"/>
      <c r="C246" s="725">
        <f>IF(D186="","-",+C245+1)</f>
        <v>2065</v>
      </c>
      <c r="D246" s="676">
        <f t="shared" si="11"/>
        <v>246785.89830508639</v>
      </c>
      <c r="E246" s="732">
        <f t="shared" si="10"/>
        <v>41130.983050847455</v>
      </c>
      <c r="F246" s="676">
        <f t="shared" si="6"/>
        <v>205654.91525423893</v>
      </c>
      <c r="G246" s="1277">
        <f t="shared" si="7"/>
        <v>65541.608117776006</v>
      </c>
      <c r="H246" s="1280">
        <f t="shared" si="8"/>
        <v>65541.608117776006</v>
      </c>
      <c r="I246" s="729">
        <f t="shared" si="9"/>
        <v>0</v>
      </c>
      <c r="J246" s="729"/>
      <c r="K246" s="881"/>
      <c r="L246" s="735"/>
      <c r="M246" s="881"/>
      <c r="N246" s="735"/>
      <c r="O246" s="735"/>
      <c r="P246" s="677"/>
    </row>
    <row r="247" spans="2:16">
      <c r="B247" s="334"/>
      <c r="C247" s="725">
        <f>IF(D186="","-",+C246+1)</f>
        <v>2066</v>
      </c>
      <c r="D247" s="676">
        <f t="shared" si="11"/>
        <v>205654.91525423893</v>
      </c>
      <c r="E247" s="732">
        <f t="shared" si="10"/>
        <v>41130.983050847455</v>
      </c>
      <c r="F247" s="676">
        <f t="shared" si="6"/>
        <v>164523.93220339148</v>
      </c>
      <c r="G247" s="1277">
        <f t="shared" si="7"/>
        <v>61103.312651061759</v>
      </c>
      <c r="H247" s="1280">
        <f t="shared" si="8"/>
        <v>61103.312651061759</v>
      </c>
      <c r="I247" s="729">
        <f t="shared" si="9"/>
        <v>0</v>
      </c>
      <c r="J247" s="729"/>
      <c r="K247" s="881"/>
      <c r="L247" s="735"/>
      <c r="M247" s="881"/>
      <c r="N247" s="735"/>
      <c r="O247" s="735"/>
      <c r="P247" s="677"/>
    </row>
    <row r="248" spans="2:16">
      <c r="B248" s="334"/>
      <c r="C248" s="725">
        <f>IF(D186="","-",+C247+1)</f>
        <v>2067</v>
      </c>
      <c r="D248" s="676">
        <f t="shared" si="11"/>
        <v>164523.93220339148</v>
      </c>
      <c r="E248" s="732">
        <f t="shared" si="10"/>
        <v>41130.983050847455</v>
      </c>
      <c r="F248" s="676">
        <f t="shared" si="6"/>
        <v>123392.94915254402</v>
      </c>
      <c r="G248" s="1277">
        <f t="shared" si="7"/>
        <v>56665.017184347504</v>
      </c>
      <c r="H248" s="1280">
        <f t="shared" si="8"/>
        <v>56665.017184347504</v>
      </c>
      <c r="I248" s="729">
        <f t="shared" si="9"/>
        <v>0</v>
      </c>
      <c r="J248" s="729"/>
      <c r="K248" s="881"/>
      <c r="L248" s="735"/>
      <c r="M248" s="881"/>
      <c r="N248" s="735"/>
      <c r="O248" s="735"/>
      <c r="P248" s="677"/>
    </row>
    <row r="249" spans="2:16">
      <c r="B249" s="334"/>
      <c r="C249" s="725">
        <f>IF(D186="","-",+C248+1)</f>
        <v>2068</v>
      </c>
      <c r="D249" s="676">
        <f t="shared" si="11"/>
        <v>123392.94915254402</v>
      </c>
      <c r="E249" s="732">
        <f t="shared" si="10"/>
        <v>41130.983050847455</v>
      </c>
      <c r="F249" s="676">
        <f t="shared" si="6"/>
        <v>82261.966101696569</v>
      </c>
      <c r="G249" s="1277">
        <f t="shared" si="7"/>
        <v>52226.721717633256</v>
      </c>
      <c r="H249" s="1280">
        <f t="shared" si="8"/>
        <v>52226.721717633256</v>
      </c>
      <c r="I249" s="729">
        <f t="shared" si="9"/>
        <v>0</v>
      </c>
      <c r="J249" s="729"/>
      <c r="K249" s="881"/>
      <c r="L249" s="735"/>
      <c r="M249" s="881"/>
      <c r="N249" s="735"/>
      <c r="O249" s="735"/>
      <c r="P249" s="677"/>
    </row>
    <row r="250" spans="2:16">
      <c r="B250" s="334"/>
      <c r="C250" s="725">
        <f>IF(D186="","-",+C249+1)</f>
        <v>2069</v>
      </c>
      <c r="D250" s="676">
        <f t="shared" si="11"/>
        <v>82261.966101696569</v>
      </c>
      <c r="E250" s="732">
        <f t="shared" si="10"/>
        <v>41130.983050847455</v>
      </c>
      <c r="F250" s="676">
        <f t="shared" si="6"/>
        <v>41130.983050849114</v>
      </c>
      <c r="G250" s="1277">
        <f t="shared" si="7"/>
        <v>47788.426250919008</v>
      </c>
      <c r="H250" s="1280">
        <f t="shared" si="8"/>
        <v>47788.426250919008</v>
      </c>
      <c r="I250" s="729">
        <f t="shared" si="9"/>
        <v>0</v>
      </c>
      <c r="J250" s="729"/>
      <c r="K250" s="881"/>
      <c r="L250" s="735"/>
      <c r="M250" s="881"/>
      <c r="N250" s="735"/>
      <c r="O250" s="735"/>
      <c r="P250" s="677"/>
    </row>
    <row r="251" spans="2:16" ht="13.5" thickBot="1">
      <c r="B251" s="334"/>
      <c r="C251" s="737">
        <f>IF(D186="","-",+C250+1)</f>
        <v>2070</v>
      </c>
      <c r="D251" s="738">
        <f t="shared" si="11"/>
        <v>41130.983050849114</v>
      </c>
      <c r="E251" s="739">
        <f t="shared" si="10"/>
        <v>41130.983050847455</v>
      </c>
      <c r="F251" s="738">
        <f t="shared" si="6"/>
        <v>1.6589183360338211E-9</v>
      </c>
      <c r="G251" s="1287">
        <f t="shared" si="7"/>
        <v>43350.130784204761</v>
      </c>
      <c r="H251" s="1287">
        <f t="shared" si="8"/>
        <v>43350.130784204761</v>
      </c>
      <c r="I251" s="741">
        <f t="shared" si="9"/>
        <v>0</v>
      </c>
      <c r="J251" s="729"/>
      <c r="K251" s="882"/>
      <c r="L251" s="743"/>
      <c r="M251" s="882"/>
      <c r="N251" s="743"/>
      <c r="O251" s="743"/>
      <c r="P251" s="677"/>
    </row>
    <row r="252" spans="2:16">
      <c r="B252" s="334"/>
      <c r="C252" s="676" t="s">
        <v>289</v>
      </c>
      <c r="D252" s="1258"/>
      <c r="E252" s="1258">
        <f>SUM(E192:E251)</f>
        <v>2426727.9999999986</v>
      </c>
      <c r="F252" s="1258"/>
      <c r="G252" s="1258">
        <f>SUM(G192:G251)</f>
        <v>10413440.692352295</v>
      </c>
      <c r="H252" s="1258">
        <f>SUM(H192:H251)</f>
        <v>10413440.692352295</v>
      </c>
      <c r="I252" s="1258">
        <f>SUM(I192:I251)</f>
        <v>0</v>
      </c>
      <c r="J252" s="1258"/>
      <c r="K252" s="1258"/>
      <c r="L252" s="1258"/>
      <c r="M252" s="1258"/>
      <c r="N252" s="1258"/>
      <c r="O252" s="543"/>
      <c r="P252" s="1258"/>
    </row>
    <row r="253" spans="2:16">
      <c r="B253" s="334"/>
      <c r="D253" s="566"/>
      <c r="E253" s="543"/>
      <c r="F253" s="543"/>
      <c r="G253" s="543"/>
      <c r="H253" s="1257"/>
      <c r="I253" s="1257"/>
      <c r="J253" s="1258"/>
      <c r="K253" s="1257"/>
      <c r="L253" s="1257"/>
      <c r="M253" s="1257"/>
      <c r="N253" s="1257"/>
      <c r="O253" s="543"/>
      <c r="P253" s="1258"/>
    </row>
    <row r="254" spans="2:16">
      <c r="B254" s="334"/>
      <c r="C254" s="543" t="s">
        <v>602</v>
      </c>
      <c r="D254" s="566"/>
      <c r="E254" s="543"/>
      <c r="F254" s="543"/>
      <c r="G254" s="543"/>
      <c r="H254" s="1257"/>
      <c r="I254" s="1257"/>
      <c r="J254" s="1258"/>
      <c r="K254" s="1257"/>
      <c r="L254" s="1257"/>
      <c r="M254" s="1257"/>
      <c r="N254" s="1257"/>
      <c r="O254" s="543"/>
      <c r="P254" s="1258"/>
    </row>
    <row r="255" spans="2:16">
      <c r="B255" s="334"/>
      <c r="D255" s="566"/>
      <c r="E255" s="543"/>
      <c r="F255" s="543"/>
      <c r="G255" s="543"/>
      <c r="H255" s="1257"/>
      <c r="I255" s="1257"/>
      <c r="J255" s="1258"/>
      <c r="K255" s="1257"/>
      <c r="L255" s="1257"/>
      <c r="M255" s="1257"/>
      <c r="N255" s="1257"/>
      <c r="O255" s="543"/>
      <c r="P255" s="1258"/>
    </row>
    <row r="256" spans="2:16">
      <c r="B256" s="334"/>
      <c r="C256" s="579" t="s">
        <v>603</v>
      </c>
      <c r="D256" s="676"/>
      <c r="E256" s="676"/>
      <c r="F256" s="676"/>
      <c r="G256" s="1258"/>
      <c r="H256" s="1258"/>
      <c r="I256" s="677"/>
      <c r="J256" s="677"/>
      <c r="K256" s="677"/>
      <c r="L256" s="677"/>
      <c r="M256" s="677"/>
      <c r="N256" s="677"/>
      <c r="O256" s="543"/>
      <c r="P256" s="677"/>
    </row>
    <row r="257" spans="1:16">
      <c r="B257" s="334"/>
      <c r="C257" s="579" t="s">
        <v>477</v>
      </c>
      <c r="D257" s="676"/>
      <c r="E257" s="676"/>
      <c r="F257" s="676"/>
      <c r="G257" s="1258"/>
      <c r="H257" s="1258"/>
      <c r="I257" s="677"/>
      <c r="J257" s="677"/>
      <c r="K257" s="677"/>
      <c r="L257" s="677"/>
      <c r="M257" s="677"/>
      <c r="N257" s="677"/>
      <c r="O257" s="543"/>
      <c r="P257" s="677"/>
    </row>
    <row r="258" spans="1:16">
      <c r="B258" s="334"/>
      <c r="C258" s="579" t="s">
        <v>290</v>
      </c>
      <c r="D258" s="676"/>
      <c r="E258" s="676"/>
      <c r="F258" s="676"/>
      <c r="G258" s="1258"/>
      <c r="H258" s="1258"/>
      <c r="I258" s="677"/>
      <c r="J258" s="677"/>
      <c r="K258" s="677"/>
      <c r="L258" s="677"/>
      <c r="M258" s="677"/>
      <c r="N258" s="677"/>
      <c r="O258" s="543"/>
      <c r="P258" s="677"/>
    </row>
    <row r="259" spans="1:16">
      <c r="B259" s="334"/>
      <c r="C259" s="675"/>
      <c r="D259" s="676"/>
      <c r="E259" s="676"/>
      <c r="F259" s="676"/>
      <c r="G259" s="1258"/>
      <c r="H259" s="1258"/>
      <c r="I259" s="677"/>
      <c r="J259" s="677"/>
      <c r="K259" s="677"/>
      <c r="L259" s="677"/>
      <c r="M259" s="677"/>
      <c r="N259" s="677"/>
      <c r="O259" s="543"/>
      <c r="P259" s="677"/>
    </row>
    <row r="260" spans="1:16">
      <c r="B260" s="334"/>
      <c r="C260" s="1436" t="s">
        <v>461</v>
      </c>
      <c r="D260" s="1436"/>
      <c r="E260" s="1436"/>
      <c r="F260" s="1436"/>
      <c r="G260" s="1436"/>
      <c r="H260" s="1436"/>
      <c r="I260" s="1436"/>
      <c r="J260" s="1436"/>
      <c r="K260" s="1436"/>
      <c r="L260" s="1436"/>
      <c r="M260" s="1436"/>
      <c r="N260" s="1436"/>
      <c r="O260" s="1436"/>
    </row>
    <row r="261" spans="1:16">
      <c r="B261" s="334"/>
      <c r="C261" s="1436"/>
      <c r="D261" s="1436"/>
      <c r="E261" s="1436"/>
      <c r="F261" s="1436"/>
      <c r="G261" s="1436"/>
      <c r="H261" s="1436"/>
      <c r="I261" s="1436"/>
      <c r="J261" s="1436"/>
      <c r="K261" s="1436"/>
      <c r="L261" s="1436"/>
      <c r="M261" s="1436"/>
      <c r="N261" s="1436"/>
      <c r="O261" s="1436"/>
    </row>
    <row r="262" spans="1:16" ht="20.25">
      <c r="A262" s="678" t="s">
        <v>993</v>
      </c>
      <c r="B262" s="543"/>
      <c r="C262" s="658"/>
      <c r="D262" s="566"/>
      <c r="E262" s="543"/>
      <c r="F262" s="648"/>
      <c r="G262" s="543"/>
      <c r="H262" s="1257"/>
      <c r="K262" s="679"/>
      <c r="L262" s="679"/>
      <c r="M262" s="679"/>
      <c r="N262" s="594" t="str">
        <f>"Page "&amp;SUM(P$6:P262)&amp;" of "</f>
        <v xml:space="preserve">Page 4 of </v>
      </c>
      <c r="O262" s="595">
        <f>COUNT(P$6:P$59606)</f>
        <v>14</v>
      </c>
      <c r="P262" s="543">
        <v>1</v>
      </c>
    </row>
    <row r="263" spans="1:16">
      <c r="B263" s="543"/>
      <c r="C263" s="543"/>
      <c r="D263" s="566"/>
      <c r="E263" s="543"/>
      <c r="F263" s="543"/>
      <c r="G263" s="543"/>
      <c r="H263" s="1257"/>
      <c r="I263" s="543"/>
      <c r="J263" s="591"/>
      <c r="K263" s="543"/>
      <c r="L263" s="543"/>
      <c r="M263" s="543"/>
      <c r="N263" s="543"/>
      <c r="O263" s="543"/>
    </row>
    <row r="264" spans="1:16" ht="18">
      <c r="B264" s="598" t="s">
        <v>175</v>
      </c>
      <c r="C264" s="680" t="s">
        <v>291</v>
      </c>
      <c r="D264" s="566"/>
      <c r="E264" s="543"/>
      <c r="F264" s="543"/>
      <c r="G264" s="543"/>
      <c r="H264" s="1257"/>
      <c r="I264" s="1257"/>
      <c r="J264" s="1258"/>
      <c r="K264" s="1257"/>
      <c r="L264" s="1257"/>
      <c r="M264" s="1257"/>
      <c r="N264" s="1257"/>
      <c r="O264" s="543"/>
    </row>
    <row r="265" spans="1:16" ht="18.75">
      <c r="B265" s="598"/>
      <c r="C265" s="597"/>
      <c r="D265" s="566"/>
      <c r="E265" s="543"/>
      <c r="F265" s="543"/>
      <c r="G265" s="543"/>
      <c r="H265" s="1257"/>
      <c r="I265" s="1257"/>
      <c r="J265" s="1258"/>
      <c r="K265" s="1257"/>
      <c r="L265" s="1257"/>
      <c r="M265" s="1257"/>
      <c r="N265" s="1257"/>
      <c r="O265" s="543"/>
    </row>
    <row r="266" spans="1:16" ht="18.75">
      <c r="B266" s="598"/>
      <c r="C266" s="597" t="s">
        <v>292</v>
      </c>
      <c r="D266" s="566"/>
      <c r="E266" s="543"/>
      <c r="F266" s="543"/>
      <c r="G266" s="543"/>
      <c r="H266" s="1257"/>
      <c r="I266" s="1257"/>
      <c r="J266" s="1258"/>
      <c r="K266" s="1257"/>
      <c r="L266" s="1257"/>
      <c r="M266" s="1257"/>
      <c r="N266" s="1257"/>
      <c r="O266" s="543"/>
    </row>
    <row r="267" spans="1:16" ht="15.75" thickBot="1">
      <c r="B267" s="334"/>
      <c r="C267" s="400"/>
      <c r="D267" s="566"/>
      <c r="E267" s="543"/>
      <c r="F267" s="543"/>
      <c r="G267" s="543"/>
      <c r="H267" s="1257"/>
      <c r="I267" s="1257"/>
      <c r="J267" s="1258"/>
      <c r="K267" s="1257"/>
      <c r="L267" s="1257"/>
      <c r="M267" s="1257"/>
      <c r="N267" s="1257"/>
      <c r="O267" s="543"/>
    </row>
    <row r="268" spans="1:16" ht="15.75">
      <c r="B268" s="334"/>
      <c r="C268" s="599" t="s">
        <v>293</v>
      </c>
      <c r="D268" s="566"/>
      <c r="E268" s="543"/>
      <c r="F268" s="543"/>
      <c r="G268" s="1259"/>
      <c r="H268" s="543" t="s">
        <v>272</v>
      </c>
      <c r="I268" s="543"/>
      <c r="J268" s="591"/>
      <c r="K268" s="681" t="s">
        <v>297</v>
      </c>
      <c r="L268" s="682"/>
      <c r="M268" s="683"/>
      <c r="N268" s="1260">
        <f>VLOOKUP(I274,C281:O340,5)</f>
        <v>1871227.8341430812</v>
      </c>
      <c r="O268" s="543"/>
    </row>
    <row r="269" spans="1:16" ht="15.75">
      <c r="B269" s="334"/>
      <c r="C269" s="599"/>
      <c r="D269" s="566"/>
      <c r="E269" s="543"/>
      <c r="F269" s="543"/>
      <c r="G269" s="543"/>
      <c r="H269" s="1261"/>
      <c r="I269" s="1261"/>
      <c r="J269" s="1262"/>
      <c r="K269" s="686" t="s">
        <v>298</v>
      </c>
      <c r="L269" s="1263"/>
      <c r="M269" s="591"/>
      <c r="N269" s="1264">
        <f>VLOOKUP(I274,C281:O340,6)</f>
        <v>1871227.8341430812</v>
      </c>
      <c r="O269" s="543"/>
    </row>
    <row r="270" spans="1:16" ht="13.5" thickBot="1">
      <c r="B270" s="334"/>
      <c r="C270" s="687" t="s">
        <v>294</v>
      </c>
      <c r="D270" s="1434" t="s">
        <v>997</v>
      </c>
      <c r="E270" s="1434"/>
      <c r="F270" s="1434"/>
      <c r="G270" s="1434"/>
      <c r="H270" s="1257"/>
      <c r="I270" s="1257"/>
      <c r="J270" s="1258"/>
      <c r="K270" s="1265" t="s">
        <v>451</v>
      </c>
      <c r="L270" s="1266"/>
      <c r="M270" s="1266"/>
      <c r="N270" s="1267">
        <f>+N269-N268</f>
        <v>0</v>
      </c>
      <c r="O270" s="543"/>
    </row>
    <row r="271" spans="1:16">
      <c r="B271" s="334"/>
      <c r="C271" s="689"/>
      <c r="D271" s="690"/>
      <c r="E271" s="674"/>
      <c r="F271" s="674"/>
      <c r="G271" s="691"/>
      <c r="H271" s="1257"/>
      <c r="I271" s="1257"/>
      <c r="J271" s="1258"/>
      <c r="K271" s="1257"/>
      <c r="L271" s="1257"/>
      <c r="M271" s="1257"/>
      <c r="N271" s="1257"/>
      <c r="O271" s="543"/>
    </row>
    <row r="272" spans="1:16" ht="13.5" thickBot="1">
      <c r="B272" s="334"/>
      <c r="C272" s="692"/>
      <c r="D272" s="693"/>
      <c r="E272" s="691"/>
      <c r="F272" s="691"/>
      <c r="G272" s="691"/>
      <c r="H272" s="691"/>
      <c r="I272" s="691"/>
      <c r="J272" s="694"/>
      <c r="K272" s="691"/>
      <c r="L272" s="691"/>
      <c r="M272" s="691"/>
      <c r="N272" s="691"/>
      <c r="O272" s="579"/>
    </row>
    <row r="273" spans="1:15" ht="13.5" thickBot="1">
      <c r="B273" s="334"/>
      <c r="C273" s="696" t="s">
        <v>295</v>
      </c>
      <c r="D273" s="697"/>
      <c r="E273" s="697"/>
      <c r="F273" s="697"/>
      <c r="G273" s="697"/>
      <c r="H273" s="697"/>
      <c r="I273" s="698"/>
      <c r="J273" s="699"/>
      <c r="K273" s="543"/>
      <c r="L273" s="543"/>
      <c r="M273" s="543"/>
      <c r="N273" s="543"/>
      <c r="O273" s="700"/>
    </row>
    <row r="274" spans="1:15" ht="15">
      <c r="B274" s="695"/>
      <c r="C274" s="702" t="s">
        <v>273</v>
      </c>
      <c r="D274" s="1268">
        <v>15858256</v>
      </c>
      <c r="E274" s="658" t="s">
        <v>274</v>
      </c>
      <c r="G274" s="703"/>
      <c r="H274" s="703"/>
      <c r="I274" s="704">
        <v>2018</v>
      </c>
      <c r="J274" s="589"/>
      <c r="K274" s="1435" t="s">
        <v>460</v>
      </c>
      <c r="L274" s="1435"/>
      <c r="M274" s="1435"/>
      <c r="N274" s="1435"/>
      <c r="O274" s="1435"/>
    </row>
    <row r="275" spans="1:15">
      <c r="B275" s="695"/>
      <c r="C275" s="702" t="s">
        <v>276</v>
      </c>
      <c r="D275" s="876">
        <v>2014</v>
      </c>
      <c r="E275" s="702" t="s">
        <v>277</v>
      </c>
      <c r="F275" s="703"/>
      <c r="H275" s="334"/>
      <c r="I275" s="879">
        <f>IF(G268="",0,$F$15)</f>
        <v>0</v>
      </c>
      <c r="J275" s="705"/>
      <c r="K275" s="1258" t="s">
        <v>460</v>
      </c>
    </row>
    <row r="276" spans="1:15">
      <c r="B276" s="695"/>
      <c r="C276" s="702" t="s">
        <v>278</v>
      </c>
      <c r="D276" s="1269">
        <v>9</v>
      </c>
      <c r="E276" s="702" t="s">
        <v>279</v>
      </c>
      <c r="F276" s="703"/>
      <c r="H276" s="334"/>
      <c r="I276" s="706">
        <f>$G$70</f>
        <v>0.10790637951024619</v>
      </c>
      <c r="J276" s="707"/>
      <c r="K276" s="334" t="str">
        <f>"          INPUT PROJECTED ARR (WITH &amp; WITHOUT INCENTIVES) FROM EACH PRIOR YEAR"</f>
        <v xml:space="preserve">          INPUT PROJECTED ARR (WITH &amp; WITHOUT INCENTIVES) FROM EACH PRIOR YEAR</v>
      </c>
    </row>
    <row r="277" spans="1:15">
      <c r="B277" s="695"/>
      <c r="C277" s="702" t="s">
        <v>280</v>
      </c>
      <c r="D277" s="708">
        <f>G$79</f>
        <v>59</v>
      </c>
      <c r="E277" s="702" t="s">
        <v>281</v>
      </c>
      <c r="F277" s="703"/>
      <c r="H277" s="334"/>
      <c r="I277" s="706">
        <f>IF(G268="",I276,$G$67)</f>
        <v>0.10790637951024619</v>
      </c>
      <c r="J277" s="709"/>
      <c r="K277" s="334" t="s">
        <v>358</v>
      </c>
    </row>
    <row r="278" spans="1:15" ht="13.5" thickBot="1">
      <c r="B278" s="695"/>
      <c r="C278" s="702" t="s">
        <v>282</v>
      </c>
      <c r="D278" s="878" t="s">
        <v>995</v>
      </c>
      <c r="E278" s="710" t="s">
        <v>283</v>
      </c>
      <c r="F278" s="711"/>
      <c r="G278" s="712"/>
      <c r="H278" s="712"/>
      <c r="I278" s="1267">
        <f>IF(D274=0,0,D274/D277)</f>
        <v>268784</v>
      </c>
      <c r="J278" s="1258"/>
      <c r="K278" s="1258" t="s">
        <v>364</v>
      </c>
      <c r="L278" s="1258"/>
      <c r="M278" s="1258"/>
      <c r="N278" s="1258"/>
      <c r="O278" s="591"/>
    </row>
    <row r="279" spans="1:15" ht="51">
      <c r="A279" s="530"/>
      <c r="B279" s="530"/>
      <c r="C279" s="713" t="s">
        <v>273</v>
      </c>
      <c r="D279" s="1270" t="s">
        <v>284</v>
      </c>
      <c r="E279" s="1271" t="s">
        <v>285</v>
      </c>
      <c r="F279" s="1270" t="s">
        <v>286</v>
      </c>
      <c r="G279" s="1271" t="s">
        <v>357</v>
      </c>
      <c r="H279" s="1272" t="s">
        <v>357</v>
      </c>
      <c r="I279" s="713" t="s">
        <v>296</v>
      </c>
      <c r="J279" s="717"/>
      <c r="K279" s="1271" t="s">
        <v>366</v>
      </c>
      <c r="L279" s="1273"/>
      <c r="M279" s="1271" t="s">
        <v>366</v>
      </c>
      <c r="N279" s="1273"/>
      <c r="O279" s="1273"/>
    </row>
    <row r="280" spans="1:15" ht="13.5" thickBot="1">
      <c r="B280" s="334"/>
      <c r="C280" s="719" t="s">
        <v>178</v>
      </c>
      <c r="D280" s="720" t="s">
        <v>179</v>
      </c>
      <c r="E280" s="719" t="s">
        <v>37</v>
      </c>
      <c r="F280" s="720" t="s">
        <v>179</v>
      </c>
      <c r="G280" s="1274" t="s">
        <v>299</v>
      </c>
      <c r="H280" s="1275" t="s">
        <v>301</v>
      </c>
      <c r="I280" s="723" t="s">
        <v>390</v>
      </c>
      <c r="J280" s="724"/>
      <c r="K280" s="1274" t="s">
        <v>288</v>
      </c>
      <c r="L280" s="1276"/>
      <c r="M280" s="1274" t="s">
        <v>301</v>
      </c>
      <c r="N280" s="1276"/>
      <c r="O280" s="1276"/>
    </row>
    <row r="281" spans="1:15">
      <c r="B281" s="334"/>
      <c r="C281" s="725">
        <f>IF(D275= "","-",D275)</f>
        <v>2014</v>
      </c>
      <c r="D281" s="676">
        <f>+D274</f>
        <v>15858256</v>
      </c>
      <c r="E281" s="1292">
        <f>+I278/12*(12-D276)</f>
        <v>67196</v>
      </c>
      <c r="F281" s="676">
        <f>+D281-E281</f>
        <v>15791060</v>
      </c>
      <c r="G281" s="1278">
        <f>+$I$276*((D281+F281)/2)+E281</f>
        <v>1774777.5517678536</v>
      </c>
      <c r="H281" s="1279">
        <f>+$I$277*((D281+F281)/2)+E281</f>
        <v>1774777.5517678536</v>
      </c>
      <c r="I281" s="729">
        <f>+H281-G281</f>
        <v>0</v>
      </c>
      <c r="J281" s="729"/>
      <c r="K281" s="880">
        <v>184681</v>
      </c>
      <c r="L281" s="731"/>
      <c r="M281" s="880">
        <v>184681</v>
      </c>
      <c r="N281" s="731"/>
      <c r="O281" s="731"/>
    </row>
    <row r="282" spans="1:15">
      <c r="B282" s="334"/>
      <c r="C282" s="725">
        <f>IF(D275="","-",+C281+1)</f>
        <v>2015</v>
      </c>
      <c r="D282" s="676">
        <f>F281</f>
        <v>15791060</v>
      </c>
      <c r="E282" s="732">
        <f>IF(D282&gt;$I$278,$I$278,D282)</f>
        <v>268784</v>
      </c>
      <c r="F282" s="676">
        <f>+D282-E282</f>
        <v>15522276</v>
      </c>
      <c r="G282" s="1277">
        <f t="shared" ref="G282:G340" si="12">+$I$276*((D282+F282)/2)+E282</f>
        <v>1958238.3590739272</v>
      </c>
      <c r="H282" s="1280">
        <f t="shared" ref="H282:H340" si="13">+$I$277*((D282+F282)/2)+E282</f>
        <v>1958238.3590739272</v>
      </c>
      <c r="I282" s="729">
        <f t="shared" ref="I282:I340" si="14">+H282-G282</f>
        <v>0</v>
      </c>
      <c r="J282" s="729"/>
      <c r="K282" s="881">
        <v>1644963</v>
      </c>
      <c r="L282" s="735"/>
      <c r="M282" s="881">
        <v>1644963</v>
      </c>
      <c r="N282" s="735"/>
      <c r="O282" s="735"/>
    </row>
    <row r="283" spans="1:15">
      <c r="B283" s="334"/>
      <c r="C283" s="725">
        <f>IF(D275="","-",+C282+1)</f>
        <v>2016</v>
      </c>
      <c r="D283" s="676">
        <f>F282</f>
        <v>15522276</v>
      </c>
      <c r="E283" s="732">
        <f t="shared" ref="E283:E340" si="15">IF(D283&gt;$I$278,$I$278,D283)</f>
        <v>268784</v>
      </c>
      <c r="F283" s="676">
        <f t="shared" ref="F283:F340" si="16">+D283-E283</f>
        <v>15253492</v>
      </c>
      <c r="G283" s="1277">
        <f t="shared" si="12"/>
        <v>1929234.8507636453</v>
      </c>
      <c r="H283" s="1280">
        <f t="shared" si="13"/>
        <v>1929234.8507636453</v>
      </c>
      <c r="I283" s="729">
        <f t="shared" si="14"/>
        <v>0</v>
      </c>
      <c r="J283" s="729"/>
      <c r="K283" s="881">
        <v>1563801</v>
      </c>
      <c r="L283" s="1290"/>
      <c r="M283" s="881">
        <v>1563801</v>
      </c>
      <c r="N283" s="735"/>
      <c r="O283" s="735"/>
    </row>
    <row r="284" spans="1:15">
      <c r="B284" s="334"/>
      <c r="C284" s="725">
        <f>IF(D275="","-",+C283+1)</f>
        <v>2017</v>
      </c>
      <c r="D284" s="676">
        <f t="shared" ref="D284:D340" si="17">F283</f>
        <v>15253492</v>
      </c>
      <c r="E284" s="732">
        <f t="shared" si="15"/>
        <v>268784</v>
      </c>
      <c r="F284" s="676">
        <f t="shared" si="16"/>
        <v>14984708</v>
      </c>
      <c r="G284" s="1277">
        <f t="shared" si="12"/>
        <v>1900231.3424533631</v>
      </c>
      <c r="H284" s="1280">
        <f t="shared" si="13"/>
        <v>1900231.3424533631</v>
      </c>
      <c r="I284" s="729">
        <f t="shared" si="14"/>
        <v>0</v>
      </c>
      <c r="J284" s="729"/>
      <c r="K284" s="881">
        <v>1644963</v>
      </c>
      <c r="L284" s="735"/>
      <c r="M284" s="881">
        <v>1644963</v>
      </c>
      <c r="N284" s="735"/>
      <c r="O284" s="735"/>
    </row>
    <row r="285" spans="1:15">
      <c r="B285" s="334"/>
      <c r="C285" s="1281">
        <f>IF(D275="","-",+C284+1)</f>
        <v>2018</v>
      </c>
      <c r="D285" s="1282">
        <f t="shared" si="17"/>
        <v>14984708</v>
      </c>
      <c r="E285" s="1283">
        <f t="shared" si="15"/>
        <v>268784</v>
      </c>
      <c r="F285" s="1282">
        <f t="shared" si="16"/>
        <v>14715924</v>
      </c>
      <c r="G285" s="1284">
        <f t="shared" si="12"/>
        <v>1871227.8341430812</v>
      </c>
      <c r="H285" s="1285">
        <f t="shared" si="13"/>
        <v>1871227.8341430812</v>
      </c>
      <c r="I285" s="1291">
        <f t="shared" si="14"/>
        <v>0</v>
      </c>
      <c r="J285" s="729"/>
      <c r="K285" s="881"/>
      <c r="L285" s="735"/>
      <c r="M285" s="881"/>
      <c r="N285" s="735"/>
      <c r="O285" s="735"/>
    </row>
    <row r="286" spans="1:15">
      <c r="B286" s="334"/>
      <c r="C286" s="725">
        <f>IF(D275="","-",+C285+1)</f>
        <v>2019</v>
      </c>
      <c r="D286" s="676">
        <f t="shared" si="17"/>
        <v>14715924</v>
      </c>
      <c r="E286" s="732">
        <f t="shared" si="15"/>
        <v>268784</v>
      </c>
      <c r="F286" s="676">
        <f t="shared" si="16"/>
        <v>14447140</v>
      </c>
      <c r="G286" s="1277">
        <f t="shared" si="12"/>
        <v>1842224.3258327991</v>
      </c>
      <c r="H286" s="1280">
        <f t="shared" si="13"/>
        <v>1842224.3258327991</v>
      </c>
      <c r="I286" s="729">
        <f t="shared" si="14"/>
        <v>0</v>
      </c>
      <c r="J286" s="729"/>
      <c r="K286" s="881"/>
      <c r="L286" s="735"/>
      <c r="M286" s="881"/>
      <c r="N286" s="735"/>
      <c r="O286" s="735"/>
    </row>
    <row r="287" spans="1:15">
      <c r="B287" s="334"/>
      <c r="C287" s="725">
        <f>IF(D275="","-",+C286+1)</f>
        <v>2020</v>
      </c>
      <c r="D287" s="676">
        <f t="shared" si="17"/>
        <v>14447140</v>
      </c>
      <c r="E287" s="732">
        <f t="shared" si="15"/>
        <v>268784</v>
      </c>
      <c r="F287" s="676">
        <f t="shared" si="16"/>
        <v>14178356</v>
      </c>
      <c r="G287" s="1277">
        <f t="shared" si="12"/>
        <v>1813220.8175225172</v>
      </c>
      <c r="H287" s="1280">
        <f t="shared" si="13"/>
        <v>1813220.8175225172</v>
      </c>
      <c r="I287" s="729">
        <f t="shared" si="14"/>
        <v>0</v>
      </c>
      <c r="J287" s="729"/>
      <c r="K287" s="881"/>
      <c r="L287" s="735"/>
      <c r="M287" s="881"/>
      <c r="N287" s="735"/>
      <c r="O287" s="735"/>
    </row>
    <row r="288" spans="1:15">
      <c r="B288" s="334"/>
      <c r="C288" s="725">
        <f>IF(D275="","-",+C287+1)</f>
        <v>2021</v>
      </c>
      <c r="D288" s="676">
        <f t="shared" si="17"/>
        <v>14178356</v>
      </c>
      <c r="E288" s="732">
        <f t="shared" si="15"/>
        <v>268784</v>
      </c>
      <c r="F288" s="676">
        <f t="shared" si="16"/>
        <v>13909572</v>
      </c>
      <c r="G288" s="1277">
        <f t="shared" si="12"/>
        <v>1784217.309212235</v>
      </c>
      <c r="H288" s="1280">
        <f t="shared" si="13"/>
        <v>1784217.309212235</v>
      </c>
      <c r="I288" s="729">
        <f t="shared" si="14"/>
        <v>0</v>
      </c>
      <c r="J288" s="729"/>
      <c r="K288" s="881"/>
      <c r="L288" s="735"/>
      <c r="M288" s="881"/>
      <c r="N288" s="735"/>
      <c r="O288" s="735"/>
    </row>
    <row r="289" spans="2:15">
      <c r="B289" s="334"/>
      <c r="C289" s="725">
        <f>IF(D275="","-",+C288+1)</f>
        <v>2022</v>
      </c>
      <c r="D289" s="676">
        <f t="shared" si="17"/>
        <v>13909572</v>
      </c>
      <c r="E289" s="732">
        <f t="shared" si="15"/>
        <v>268784</v>
      </c>
      <c r="F289" s="676">
        <f t="shared" si="16"/>
        <v>13640788</v>
      </c>
      <c r="G289" s="1277">
        <f t="shared" si="12"/>
        <v>1755213.8009019531</v>
      </c>
      <c r="H289" s="1280">
        <f t="shared" si="13"/>
        <v>1755213.8009019531</v>
      </c>
      <c r="I289" s="729">
        <f t="shared" si="14"/>
        <v>0</v>
      </c>
      <c r="J289" s="729"/>
      <c r="K289" s="881"/>
      <c r="L289" s="735"/>
      <c r="M289" s="881"/>
      <c r="N289" s="735"/>
      <c r="O289" s="735"/>
    </row>
    <row r="290" spans="2:15">
      <c r="B290" s="334"/>
      <c r="C290" s="725">
        <f>IF(D275="","-",+C289+1)</f>
        <v>2023</v>
      </c>
      <c r="D290" s="676">
        <f t="shared" si="17"/>
        <v>13640788</v>
      </c>
      <c r="E290" s="732">
        <f t="shared" si="15"/>
        <v>268784</v>
      </c>
      <c r="F290" s="676">
        <f t="shared" si="16"/>
        <v>13372004</v>
      </c>
      <c r="G290" s="1277">
        <f t="shared" si="12"/>
        <v>1726210.292591671</v>
      </c>
      <c r="H290" s="1280">
        <f t="shared" si="13"/>
        <v>1726210.292591671</v>
      </c>
      <c r="I290" s="729">
        <f t="shared" si="14"/>
        <v>0</v>
      </c>
      <c r="J290" s="729"/>
      <c r="K290" s="881"/>
      <c r="L290" s="735"/>
      <c r="M290" s="881"/>
      <c r="N290" s="735"/>
      <c r="O290" s="735"/>
    </row>
    <row r="291" spans="2:15">
      <c r="B291" s="334"/>
      <c r="C291" s="725">
        <f>IF(D275="","-",+C290+1)</f>
        <v>2024</v>
      </c>
      <c r="D291" s="676">
        <f t="shared" si="17"/>
        <v>13372004</v>
      </c>
      <c r="E291" s="732">
        <f t="shared" si="15"/>
        <v>268784</v>
      </c>
      <c r="F291" s="676">
        <f t="shared" si="16"/>
        <v>13103220</v>
      </c>
      <c r="G291" s="1277">
        <f t="shared" si="12"/>
        <v>1697206.7842813891</v>
      </c>
      <c r="H291" s="1280">
        <f t="shared" si="13"/>
        <v>1697206.7842813891</v>
      </c>
      <c r="I291" s="729">
        <f t="shared" si="14"/>
        <v>0</v>
      </c>
      <c r="J291" s="729"/>
      <c r="K291" s="881"/>
      <c r="L291" s="735"/>
      <c r="M291" s="881"/>
      <c r="N291" s="735"/>
      <c r="O291" s="735"/>
    </row>
    <row r="292" spans="2:15">
      <c r="B292" s="334"/>
      <c r="C292" s="725">
        <f>IF(D275="","-",+C291+1)</f>
        <v>2025</v>
      </c>
      <c r="D292" s="676">
        <f t="shared" si="17"/>
        <v>13103220</v>
      </c>
      <c r="E292" s="732">
        <f t="shared" si="15"/>
        <v>268784</v>
      </c>
      <c r="F292" s="676">
        <f t="shared" si="16"/>
        <v>12834436</v>
      </c>
      <c r="G292" s="1277">
        <f t="shared" si="12"/>
        <v>1668203.275971107</v>
      </c>
      <c r="H292" s="1280">
        <f t="shared" si="13"/>
        <v>1668203.275971107</v>
      </c>
      <c r="I292" s="729">
        <f t="shared" si="14"/>
        <v>0</v>
      </c>
      <c r="J292" s="729"/>
      <c r="K292" s="881"/>
      <c r="L292" s="735"/>
      <c r="M292" s="881"/>
      <c r="N292" s="735"/>
      <c r="O292" s="735"/>
    </row>
    <row r="293" spans="2:15">
      <c r="B293" s="334"/>
      <c r="C293" s="725">
        <f>IF(D275="","-",+C292+1)</f>
        <v>2026</v>
      </c>
      <c r="D293" s="676">
        <f t="shared" si="17"/>
        <v>12834436</v>
      </c>
      <c r="E293" s="732">
        <f t="shared" si="15"/>
        <v>268784</v>
      </c>
      <c r="F293" s="676">
        <f t="shared" si="16"/>
        <v>12565652</v>
      </c>
      <c r="G293" s="1277">
        <f t="shared" si="12"/>
        <v>1639199.767660825</v>
      </c>
      <c r="H293" s="1280">
        <f t="shared" si="13"/>
        <v>1639199.767660825</v>
      </c>
      <c r="I293" s="729">
        <f t="shared" si="14"/>
        <v>0</v>
      </c>
      <c r="J293" s="729"/>
      <c r="K293" s="881"/>
      <c r="L293" s="735"/>
      <c r="M293" s="881"/>
      <c r="N293" s="736"/>
      <c r="O293" s="735"/>
    </row>
    <row r="294" spans="2:15">
      <c r="B294" s="334"/>
      <c r="C294" s="725">
        <f>IF(D275="","-",+C293+1)</f>
        <v>2027</v>
      </c>
      <c r="D294" s="676">
        <f t="shared" si="17"/>
        <v>12565652</v>
      </c>
      <c r="E294" s="732">
        <f t="shared" si="15"/>
        <v>268784</v>
      </c>
      <c r="F294" s="676">
        <f t="shared" si="16"/>
        <v>12296868</v>
      </c>
      <c r="G294" s="1277">
        <f t="shared" si="12"/>
        <v>1610196.2593505431</v>
      </c>
      <c r="H294" s="1280">
        <f t="shared" si="13"/>
        <v>1610196.2593505431</v>
      </c>
      <c r="I294" s="729">
        <f t="shared" si="14"/>
        <v>0</v>
      </c>
      <c r="J294" s="729"/>
      <c r="K294" s="881"/>
      <c r="L294" s="735"/>
      <c r="M294" s="881"/>
      <c r="N294" s="735"/>
      <c r="O294" s="735"/>
    </row>
    <row r="295" spans="2:15">
      <c r="B295" s="334"/>
      <c r="C295" s="725">
        <f>IF(D275="","-",+C294+1)</f>
        <v>2028</v>
      </c>
      <c r="D295" s="676">
        <f t="shared" si="17"/>
        <v>12296868</v>
      </c>
      <c r="E295" s="732">
        <f t="shared" si="15"/>
        <v>268784</v>
      </c>
      <c r="F295" s="676">
        <f t="shared" si="16"/>
        <v>12028084</v>
      </c>
      <c r="G295" s="1277">
        <f t="shared" si="12"/>
        <v>1581192.751040261</v>
      </c>
      <c r="H295" s="1280">
        <f t="shared" si="13"/>
        <v>1581192.751040261</v>
      </c>
      <c r="I295" s="729">
        <f t="shared" si="14"/>
        <v>0</v>
      </c>
      <c r="J295" s="729"/>
      <c r="K295" s="881"/>
      <c r="L295" s="735"/>
      <c r="M295" s="881"/>
      <c r="N295" s="735"/>
      <c r="O295" s="735"/>
    </row>
    <row r="296" spans="2:15">
      <c r="B296" s="334"/>
      <c r="C296" s="725">
        <f>IF(D275="","-",+C295+1)</f>
        <v>2029</v>
      </c>
      <c r="D296" s="676">
        <f t="shared" si="17"/>
        <v>12028084</v>
      </c>
      <c r="E296" s="732">
        <f t="shared" si="15"/>
        <v>268784</v>
      </c>
      <c r="F296" s="676">
        <f t="shared" si="16"/>
        <v>11759300</v>
      </c>
      <c r="G296" s="1277">
        <f t="shared" si="12"/>
        <v>1552189.2427299791</v>
      </c>
      <c r="H296" s="1280">
        <f t="shared" si="13"/>
        <v>1552189.2427299791</v>
      </c>
      <c r="I296" s="729">
        <f t="shared" si="14"/>
        <v>0</v>
      </c>
      <c r="J296" s="729"/>
      <c r="K296" s="881"/>
      <c r="L296" s="735"/>
      <c r="M296" s="881"/>
      <c r="N296" s="735"/>
      <c r="O296" s="735"/>
    </row>
    <row r="297" spans="2:15">
      <c r="B297" s="334"/>
      <c r="C297" s="725">
        <f>IF(D275="","-",+C296+1)</f>
        <v>2030</v>
      </c>
      <c r="D297" s="676">
        <f t="shared" si="17"/>
        <v>11759300</v>
      </c>
      <c r="E297" s="732">
        <f t="shared" si="15"/>
        <v>268784</v>
      </c>
      <c r="F297" s="676">
        <f t="shared" si="16"/>
        <v>11490516</v>
      </c>
      <c r="G297" s="1277">
        <f t="shared" si="12"/>
        <v>1523185.734419697</v>
      </c>
      <c r="H297" s="1280">
        <f t="shared" si="13"/>
        <v>1523185.734419697</v>
      </c>
      <c r="I297" s="729">
        <f t="shared" si="14"/>
        <v>0</v>
      </c>
      <c r="J297" s="729"/>
      <c r="K297" s="881"/>
      <c r="L297" s="735"/>
      <c r="M297" s="881"/>
      <c r="N297" s="735"/>
      <c r="O297" s="735"/>
    </row>
    <row r="298" spans="2:15">
      <c r="B298" s="334"/>
      <c r="C298" s="725">
        <f>IF(D275="","-",+C297+1)</f>
        <v>2031</v>
      </c>
      <c r="D298" s="676">
        <f t="shared" si="17"/>
        <v>11490516</v>
      </c>
      <c r="E298" s="732">
        <f t="shared" si="15"/>
        <v>268784</v>
      </c>
      <c r="F298" s="676">
        <f t="shared" si="16"/>
        <v>11221732</v>
      </c>
      <c r="G298" s="1277">
        <f t="shared" si="12"/>
        <v>1494182.2261094151</v>
      </c>
      <c r="H298" s="1280">
        <f t="shared" si="13"/>
        <v>1494182.2261094151</v>
      </c>
      <c r="I298" s="729">
        <f t="shared" si="14"/>
        <v>0</v>
      </c>
      <c r="J298" s="729"/>
      <c r="K298" s="881"/>
      <c r="L298" s="735"/>
      <c r="M298" s="881"/>
      <c r="N298" s="735"/>
      <c r="O298" s="735"/>
    </row>
    <row r="299" spans="2:15">
      <c r="B299" s="334"/>
      <c r="C299" s="725">
        <f>IF(D275="","-",+C298+1)</f>
        <v>2032</v>
      </c>
      <c r="D299" s="676">
        <f t="shared" si="17"/>
        <v>11221732</v>
      </c>
      <c r="E299" s="732">
        <f t="shared" si="15"/>
        <v>268784</v>
      </c>
      <c r="F299" s="676">
        <f t="shared" si="16"/>
        <v>10952948</v>
      </c>
      <c r="G299" s="1277">
        <f t="shared" si="12"/>
        <v>1465178.7177991329</v>
      </c>
      <c r="H299" s="1280">
        <f t="shared" si="13"/>
        <v>1465178.7177991329</v>
      </c>
      <c r="I299" s="729">
        <f t="shared" si="14"/>
        <v>0</v>
      </c>
      <c r="J299" s="729"/>
      <c r="K299" s="881"/>
      <c r="L299" s="735"/>
      <c r="M299" s="881"/>
      <c r="N299" s="735"/>
      <c r="O299" s="735"/>
    </row>
    <row r="300" spans="2:15">
      <c r="B300" s="334"/>
      <c r="C300" s="725">
        <f>IF(D275="","-",+C299+1)</f>
        <v>2033</v>
      </c>
      <c r="D300" s="676">
        <f t="shared" si="17"/>
        <v>10952948</v>
      </c>
      <c r="E300" s="732">
        <f t="shared" si="15"/>
        <v>268784</v>
      </c>
      <c r="F300" s="676">
        <f t="shared" si="16"/>
        <v>10684164</v>
      </c>
      <c r="G300" s="1277">
        <f t="shared" si="12"/>
        <v>1436175.209488851</v>
      </c>
      <c r="H300" s="1280">
        <f t="shared" si="13"/>
        <v>1436175.209488851</v>
      </c>
      <c r="I300" s="729">
        <f t="shared" si="14"/>
        <v>0</v>
      </c>
      <c r="J300" s="729"/>
      <c r="K300" s="881"/>
      <c r="L300" s="735"/>
      <c r="M300" s="881"/>
      <c r="N300" s="735"/>
      <c r="O300" s="735"/>
    </row>
    <row r="301" spans="2:15">
      <c r="B301" s="334"/>
      <c r="C301" s="725">
        <f>IF(D275="","-",+C300+1)</f>
        <v>2034</v>
      </c>
      <c r="D301" s="676">
        <f t="shared" si="17"/>
        <v>10684164</v>
      </c>
      <c r="E301" s="732">
        <f t="shared" si="15"/>
        <v>268784</v>
      </c>
      <c r="F301" s="676">
        <f t="shared" si="16"/>
        <v>10415380</v>
      </c>
      <c r="G301" s="1277">
        <f t="shared" si="12"/>
        <v>1407171.7011785689</v>
      </c>
      <c r="H301" s="1280">
        <f t="shared" si="13"/>
        <v>1407171.7011785689</v>
      </c>
      <c r="I301" s="729">
        <f t="shared" si="14"/>
        <v>0</v>
      </c>
      <c r="J301" s="729"/>
      <c r="K301" s="881"/>
      <c r="L301" s="735"/>
      <c r="M301" s="881"/>
      <c r="N301" s="735"/>
      <c r="O301" s="735"/>
    </row>
    <row r="302" spans="2:15">
      <c r="B302" s="334"/>
      <c r="C302" s="725">
        <f>IF(D275="","-",+C301+1)</f>
        <v>2035</v>
      </c>
      <c r="D302" s="676">
        <f t="shared" si="17"/>
        <v>10415380</v>
      </c>
      <c r="E302" s="732">
        <f t="shared" si="15"/>
        <v>268784</v>
      </c>
      <c r="F302" s="676">
        <f t="shared" si="16"/>
        <v>10146596</v>
      </c>
      <c r="G302" s="1277">
        <f t="shared" si="12"/>
        <v>1378168.192868287</v>
      </c>
      <c r="H302" s="1280">
        <f t="shared" si="13"/>
        <v>1378168.192868287</v>
      </c>
      <c r="I302" s="729">
        <f t="shared" si="14"/>
        <v>0</v>
      </c>
      <c r="J302" s="729"/>
      <c r="K302" s="881"/>
      <c r="L302" s="735"/>
      <c r="M302" s="881"/>
      <c r="N302" s="735"/>
      <c r="O302" s="735"/>
    </row>
    <row r="303" spans="2:15">
      <c r="B303" s="334"/>
      <c r="C303" s="725">
        <f>IF(D275="","-",+C302+1)</f>
        <v>2036</v>
      </c>
      <c r="D303" s="676">
        <f t="shared" si="17"/>
        <v>10146596</v>
      </c>
      <c r="E303" s="732">
        <f t="shared" si="15"/>
        <v>268784</v>
      </c>
      <c r="F303" s="676">
        <f t="shared" si="16"/>
        <v>9877812</v>
      </c>
      <c r="G303" s="1277">
        <f t="shared" si="12"/>
        <v>1349164.6845580048</v>
      </c>
      <c r="H303" s="1280">
        <f t="shared" si="13"/>
        <v>1349164.6845580048</v>
      </c>
      <c r="I303" s="729">
        <f t="shared" si="14"/>
        <v>0</v>
      </c>
      <c r="J303" s="729"/>
      <c r="K303" s="881"/>
      <c r="L303" s="735"/>
      <c r="M303" s="881"/>
      <c r="N303" s="735"/>
      <c r="O303" s="735"/>
    </row>
    <row r="304" spans="2:15">
      <c r="B304" s="334"/>
      <c r="C304" s="725">
        <f>IF(D275="","-",+C303+1)</f>
        <v>2037</v>
      </c>
      <c r="D304" s="676">
        <f t="shared" si="17"/>
        <v>9877812</v>
      </c>
      <c r="E304" s="732">
        <f t="shared" si="15"/>
        <v>268784</v>
      </c>
      <c r="F304" s="676">
        <f t="shared" si="16"/>
        <v>9609028</v>
      </c>
      <c r="G304" s="1277">
        <f t="shared" si="12"/>
        <v>1320161.1762477229</v>
      </c>
      <c r="H304" s="1280">
        <f t="shared" si="13"/>
        <v>1320161.1762477229</v>
      </c>
      <c r="I304" s="729">
        <f t="shared" si="14"/>
        <v>0</v>
      </c>
      <c r="J304" s="729"/>
      <c r="K304" s="881"/>
      <c r="L304" s="735"/>
      <c r="M304" s="881"/>
      <c r="N304" s="735"/>
      <c r="O304" s="735"/>
    </row>
    <row r="305" spans="2:15">
      <c r="B305" s="334"/>
      <c r="C305" s="725">
        <f>IF(D275="","-",+C304+1)</f>
        <v>2038</v>
      </c>
      <c r="D305" s="676">
        <f t="shared" si="17"/>
        <v>9609028</v>
      </c>
      <c r="E305" s="732">
        <f t="shared" si="15"/>
        <v>268784</v>
      </c>
      <c r="F305" s="676">
        <f t="shared" si="16"/>
        <v>9340244</v>
      </c>
      <c r="G305" s="1277">
        <f t="shared" si="12"/>
        <v>1291157.6679374408</v>
      </c>
      <c r="H305" s="1280">
        <f t="shared" si="13"/>
        <v>1291157.6679374408</v>
      </c>
      <c r="I305" s="729">
        <f t="shared" si="14"/>
        <v>0</v>
      </c>
      <c r="J305" s="729"/>
      <c r="K305" s="881"/>
      <c r="L305" s="735"/>
      <c r="M305" s="881"/>
      <c r="N305" s="735"/>
      <c r="O305" s="735"/>
    </row>
    <row r="306" spans="2:15">
      <c r="B306" s="334"/>
      <c r="C306" s="725">
        <f>IF(D275="","-",+C305+1)</f>
        <v>2039</v>
      </c>
      <c r="D306" s="676">
        <f t="shared" si="17"/>
        <v>9340244</v>
      </c>
      <c r="E306" s="732">
        <f t="shared" si="15"/>
        <v>268784</v>
      </c>
      <c r="F306" s="676">
        <f t="shared" si="16"/>
        <v>9071460</v>
      </c>
      <c r="G306" s="1277">
        <f t="shared" si="12"/>
        <v>1262154.1596271589</v>
      </c>
      <c r="H306" s="1280">
        <f t="shared" si="13"/>
        <v>1262154.1596271589</v>
      </c>
      <c r="I306" s="729">
        <f t="shared" si="14"/>
        <v>0</v>
      </c>
      <c r="J306" s="729"/>
      <c r="K306" s="881"/>
      <c r="L306" s="735"/>
      <c r="M306" s="881"/>
      <c r="N306" s="735"/>
      <c r="O306" s="735"/>
    </row>
    <row r="307" spans="2:15">
      <c r="B307" s="334"/>
      <c r="C307" s="725">
        <f>IF(D275="","-",+C306+1)</f>
        <v>2040</v>
      </c>
      <c r="D307" s="676">
        <f t="shared" si="17"/>
        <v>9071460</v>
      </c>
      <c r="E307" s="732">
        <f t="shared" si="15"/>
        <v>268784</v>
      </c>
      <c r="F307" s="676">
        <f t="shared" si="16"/>
        <v>8802676</v>
      </c>
      <c r="G307" s="1277">
        <f t="shared" si="12"/>
        <v>1233150.651316877</v>
      </c>
      <c r="H307" s="1280">
        <f t="shared" si="13"/>
        <v>1233150.651316877</v>
      </c>
      <c r="I307" s="729">
        <f t="shared" si="14"/>
        <v>0</v>
      </c>
      <c r="J307" s="729"/>
      <c r="K307" s="881"/>
      <c r="L307" s="735"/>
      <c r="M307" s="881"/>
      <c r="N307" s="735"/>
      <c r="O307" s="735"/>
    </row>
    <row r="308" spans="2:15">
      <c r="B308" s="334"/>
      <c r="C308" s="725">
        <f>IF(D275="","-",+C307+1)</f>
        <v>2041</v>
      </c>
      <c r="D308" s="676">
        <f t="shared" si="17"/>
        <v>8802676</v>
      </c>
      <c r="E308" s="732">
        <f t="shared" si="15"/>
        <v>268784</v>
      </c>
      <c r="F308" s="676">
        <f t="shared" si="16"/>
        <v>8533892</v>
      </c>
      <c r="G308" s="1277">
        <f t="shared" si="12"/>
        <v>1204147.1430065949</v>
      </c>
      <c r="H308" s="1280">
        <f t="shared" si="13"/>
        <v>1204147.1430065949</v>
      </c>
      <c r="I308" s="729">
        <f t="shared" si="14"/>
        <v>0</v>
      </c>
      <c r="J308" s="729"/>
      <c r="K308" s="881"/>
      <c r="L308" s="735"/>
      <c r="M308" s="881"/>
      <c r="N308" s="735"/>
      <c r="O308" s="735"/>
    </row>
    <row r="309" spans="2:15">
      <c r="B309" s="334"/>
      <c r="C309" s="725">
        <f>IF(D275="","-",+C308+1)</f>
        <v>2042</v>
      </c>
      <c r="D309" s="676">
        <f t="shared" si="17"/>
        <v>8533892</v>
      </c>
      <c r="E309" s="732">
        <f t="shared" si="15"/>
        <v>268784</v>
      </c>
      <c r="F309" s="676">
        <f t="shared" si="16"/>
        <v>8265108</v>
      </c>
      <c r="G309" s="1286">
        <f t="shared" si="12"/>
        <v>1175143.6346963127</v>
      </c>
      <c r="H309" s="1280">
        <f t="shared" si="13"/>
        <v>1175143.6346963127</v>
      </c>
      <c r="I309" s="729">
        <f t="shared" si="14"/>
        <v>0</v>
      </c>
      <c r="J309" s="729"/>
      <c r="K309" s="881"/>
      <c r="L309" s="735"/>
      <c r="M309" s="881"/>
      <c r="N309" s="735"/>
      <c r="O309" s="735"/>
    </row>
    <row r="310" spans="2:15">
      <c r="B310" s="334"/>
      <c r="C310" s="725">
        <f>IF(D275="","-",+C309+1)</f>
        <v>2043</v>
      </c>
      <c r="D310" s="676">
        <f t="shared" si="17"/>
        <v>8265108</v>
      </c>
      <c r="E310" s="732">
        <f t="shared" si="15"/>
        <v>268784</v>
      </c>
      <c r="F310" s="676">
        <f t="shared" si="16"/>
        <v>7996324</v>
      </c>
      <c r="G310" s="1277">
        <f t="shared" si="12"/>
        <v>1146140.1263860308</v>
      </c>
      <c r="H310" s="1280">
        <f t="shared" si="13"/>
        <v>1146140.1263860308</v>
      </c>
      <c r="I310" s="729">
        <f t="shared" si="14"/>
        <v>0</v>
      </c>
      <c r="J310" s="729"/>
      <c r="K310" s="881"/>
      <c r="L310" s="735"/>
      <c r="M310" s="881"/>
      <c r="N310" s="735"/>
      <c r="O310" s="735"/>
    </row>
    <row r="311" spans="2:15">
      <c r="B311" s="334"/>
      <c r="C311" s="725">
        <f>IF(D275="","-",+C310+1)</f>
        <v>2044</v>
      </c>
      <c r="D311" s="676">
        <f t="shared" si="17"/>
        <v>7996324</v>
      </c>
      <c r="E311" s="732">
        <f t="shared" si="15"/>
        <v>268784</v>
      </c>
      <c r="F311" s="676">
        <f t="shared" si="16"/>
        <v>7727540</v>
      </c>
      <c r="G311" s="1277">
        <f t="shared" si="12"/>
        <v>1117136.6180757489</v>
      </c>
      <c r="H311" s="1280">
        <f t="shared" si="13"/>
        <v>1117136.6180757489</v>
      </c>
      <c r="I311" s="729">
        <f t="shared" si="14"/>
        <v>0</v>
      </c>
      <c r="J311" s="729"/>
      <c r="K311" s="881"/>
      <c r="L311" s="735"/>
      <c r="M311" s="881"/>
      <c r="N311" s="735"/>
      <c r="O311" s="735"/>
    </row>
    <row r="312" spans="2:15">
      <c r="B312" s="334"/>
      <c r="C312" s="725">
        <f>IF(D275="","-",+C311+1)</f>
        <v>2045</v>
      </c>
      <c r="D312" s="676">
        <f t="shared" si="17"/>
        <v>7727540</v>
      </c>
      <c r="E312" s="732">
        <f t="shared" si="15"/>
        <v>268784</v>
      </c>
      <c r="F312" s="676">
        <f t="shared" si="16"/>
        <v>7458756</v>
      </c>
      <c r="G312" s="1277">
        <f t="shared" si="12"/>
        <v>1088133.1097654668</v>
      </c>
      <c r="H312" s="1280">
        <f t="shared" si="13"/>
        <v>1088133.1097654668</v>
      </c>
      <c r="I312" s="729">
        <f t="shared" si="14"/>
        <v>0</v>
      </c>
      <c r="J312" s="729"/>
      <c r="K312" s="881"/>
      <c r="L312" s="735"/>
      <c r="M312" s="881"/>
      <c r="N312" s="735"/>
      <c r="O312" s="735"/>
    </row>
    <row r="313" spans="2:15">
      <c r="B313" s="334"/>
      <c r="C313" s="725">
        <f>IF(D275="","-",+C312+1)</f>
        <v>2046</v>
      </c>
      <c r="D313" s="676">
        <f t="shared" si="17"/>
        <v>7458756</v>
      </c>
      <c r="E313" s="732">
        <f t="shared" si="15"/>
        <v>268784</v>
      </c>
      <c r="F313" s="676">
        <f t="shared" si="16"/>
        <v>7189972</v>
      </c>
      <c r="G313" s="1277">
        <f t="shared" si="12"/>
        <v>1059129.6014551849</v>
      </c>
      <c r="H313" s="1280">
        <f t="shared" si="13"/>
        <v>1059129.6014551849</v>
      </c>
      <c r="I313" s="729">
        <f t="shared" si="14"/>
        <v>0</v>
      </c>
      <c r="J313" s="729"/>
      <c r="K313" s="881"/>
      <c r="L313" s="735"/>
      <c r="M313" s="881"/>
      <c r="N313" s="735"/>
      <c r="O313" s="735"/>
    </row>
    <row r="314" spans="2:15">
      <c r="B314" s="334"/>
      <c r="C314" s="725">
        <f>IF(D275="","-",+C313+1)</f>
        <v>2047</v>
      </c>
      <c r="D314" s="676">
        <f t="shared" si="17"/>
        <v>7189972</v>
      </c>
      <c r="E314" s="732">
        <f t="shared" si="15"/>
        <v>268784</v>
      </c>
      <c r="F314" s="676">
        <f t="shared" si="16"/>
        <v>6921188</v>
      </c>
      <c r="G314" s="1277">
        <f t="shared" si="12"/>
        <v>1030126.0931449028</v>
      </c>
      <c r="H314" s="1280">
        <f t="shared" si="13"/>
        <v>1030126.0931449028</v>
      </c>
      <c r="I314" s="729">
        <f t="shared" si="14"/>
        <v>0</v>
      </c>
      <c r="J314" s="729"/>
      <c r="K314" s="881"/>
      <c r="L314" s="735"/>
      <c r="M314" s="881"/>
      <c r="N314" s="735"/>
      <c r="O314" s="735"/>
    </row>
    <row r="315" spans="2:15">
      <c r="B315" s="334"/>
      <c r="C315" s="725">
        <f>IF(D275="","-",+C314+1)</f>
        <v>2048</v>
      </c>
      <c r="D315" s="676">
        <f t="shared" si="17"/>
        <v>6921188</v>
      </c>
      <c r="E315" s="732">
        <f t="shared" si="15"/>
        <v>268784</v>
      </c>
      <c r="F315" s="676">
        <f t="shared" si="16"/>
        <v>6652404</v>
      </c>
      <c r="G315" s="1277">
        <f t="shared" si="12"/>
        <v>1001122.5848346208</v>
      </c>
      <c r="H315" s="1280">
        <f t="shared" si="13"/>
        <v>1001122.5848346208</v>
      </c>
      <c r="I315" s="729">
        <f t="shared" si="14"/>
        <v>0</v>
      </c>
      <c r="J315" s="729"/>
      <c r="K315" s="881"/>
      <c r="L315" s="735"/>
      <c r="M315" s="881"/>
      <c r="N315" s="735"/>
      <c r="O315" s="735"/>
    </row>
    <row r="316" spans="2:15">
      <c r="B316" s="334"/>
      <c r="C316" s="725">
        <f>IF(D275="","-",+C315+1)</f>
        <v>2049</v>
      </c>
      <c r="D316" s="676">
        <f t="shared" si="17"/>
        <v>6652404</v>
      </c>
      <c r="E316" s="732">
        <f t="shared" si="15"/>
        <v>268784</v>
      </c>
      <c r="F316" s="676">
        <f t="shared" si="16"/>
        <v>6383620</v>
      </c>
      <c r="G316" s="1277">
        <f t="shared" si="12"/>
        <v>972119.0765243388</v>
      </c>
      <c r="H316" s="1280">
        <f t="shared" si="13"/>
        <v>972119.0765243388</v>
      </c>
      <c r="I316" s="729">
        <f t="shared" si="14"/>
        <v>0</v>
      </c>
      <c r="J316" s="729"/>
      <c r="K316" s="881"/>
      <c r="L316" s="735"/>
      <c r="M316" s="881"/>
      <c r="N316" s="735"/>
      <c r="O316" s="735"/>
    </row>
    <row r="317" spans="2:15">
      <c r="B317" s="334"/>
      <c r="C317" s="725">
        <f>IF(D275="","-",+C316+1)</f>
        <v>2050</v>
      </c>
      <c r="D317" s="676">
        <f t="shared" si="17"/>
        <v>6383620</v>
      </c>
      <c r="E317" s="732">
        <f t="shared" si="15"/>
        <v>268784</v>
      </c>
      <c r="F317" s="676">
        <f t="shared" si="16"/>
        <v>6114836</v>
      </c>
      <c r="G317" s="1277">
        <f t="shared" si="12"/>
        <v>943115.56821405678</v>
      </c>
      <c r="H317" s="1280">
        <f t="shared" si="13"/>
        <v>943115.56821405678</v>
      </c>
      <c r="I317" s="729">
        <f t="shared" si="14"/>
        <v>0</v>
      </c>
      <c r="J317" s="729"/>
      <c r="K317" s="881"/>
      <c r="L317" s="735"/>
      <c r="M317" s="881"/>
      <c r="N317" s="735"/>
      <c r="O317" s="735"/>
    </row>
    <row r="318" spans="2:15">
      <c r="B318" s="334"/>
      <c r="C318" s="725">
        <f>IF(D275="","-",+C317+1)</f>
        <v>2051</v>
      </c>
      <c r="D318" s="676">
        <f t="shared" si="17"/>
        <v>6114836</v>
      </c>
      <c r="E318" s="732">
        <f t="shared" si="15"/>
        <v>268784</v>
      </c>
      <c r="F318" s="676">
        <f t="shared" si="16"/>
        <v>5846052</v>
      </c>
      <c r="G318" s="1277">
        <f t="shared" si="12"/>
        <v>914112.05990377476</v>
      </c>
      <c r="H318" s="1280">
        <f t="shared" si="13"/>
        <v>914112.05990377476</v>
      </c>
      <c r="I318" s="729">
        <f t="shared" si="14"/>
        <v>0</v>
      </c>
      <c r="J318" s="729"/>
      <c r="K318" s="881"/>
      <c r="L318" s="735"/>
      <c r="M318" s="881"/>
      <c r="N318" s="735"/>
      <c r="O318" s="735"/>
    </row>
    <row r="319" spans="2:15">
      <c r="B319" s="334"/>
      <c r="C319" s="725">
        <f>IF(D275="","-",+C318+1)</f>
        <v>2052</v>
      </c>
      <c r="D319" s="676">
        <f t="shared" si="17"/>
        <v>5846052</v>
      </c>
      <c r="E319" s="732">
        <f t="shared" si="15"/>
        <v>268784</v>
      </c>
      <c r="F319" s="676">
        <f t="shared" si="16"/>
        <v>5577268</v>
      </c>
      <c r="G319" s="1277">
        <f t="shared" si="12"/>
        <v>885108.55159349274</v>
      </c>
      <c r="H319" s="1280">
        <f t="shared" si="13"/>
        <v>885108.55159349274</v>
      </c>
      <c r="I319" s="729">
        <f t="shared" si="14"/>
        <v>0</v>
      </c>
      <c r="J319" s="729"/>
      <c r="K319" s="881"/>
      <c r="L319" s="735"/>
      <c r="M319" s="881"/>
      <c r="N319" s="735"/>
      <c r="O319" s="735"/>
    </row>
    <row r="320" spans="2:15">
      <c r="B320" s="334"/>
      <c r="C320" s="725">
        <f>IF(D275="","-",+C319+1)</f>
        <v>2053</v>
      </c>
      <c r="D320" s="676">
        <f t="shared" si="17"/>
        <v>5577268</v>
      </c>
      <c r="E320" s="732">
        <f t="shared" si="15"/>
        <v>268784</v>
      </c>
      <c r="F320" s="676">
        <f t="shared" si="16"/>
        <v>5308484</v>
      </c>
      <c r="G320" s="1277">
        <f t="shared" si="12"/>
        <v>856105.04328321072</v>
      </c>
      <c r="H320" s="1280">
        <f t="shared" si="13"/>
        <v>856105.04328321072</v>
      </c>
      <c r="I320" s="729">
        <f t="shared" si="14"/>
        <v>0</v>
      </c>
      <c r="J320" s="729"/>
      <c r="K320" s="881"/>
      <c r="L320" s="735"/>
      <c r="M320" s="881"/>
      <c r="N320" s="735"/>
      <c r="O320" s="735"/>
    </row>
    <row r="321" spans="2:15">
      <c r="B321" s="334"/>
      <c r="C321" s="725">
        <f>IF(D275="","-",+C320+1)</f>
        <v>2054</v>
      </c>
      <c r="D321" s="676">
        <f t="shared" si="17"/>
        <v>5308484</v>
      </c>
      <c r="E321" s="732">
        <f t="shared" si="15"/>
        <v>268784</v>
      </c>
      <c r="F321" s="676">
        <f t="shared" si="16"/>
        <v>5039700</v>
      </c>
      <c r="G321" s="1277">
        <f t="shared" si="12"/>
        <v>827101.5349729287</v>
      </c>
      <c r="H321" s="1280">
        <f t="shared" si="13"/>
        <v>827101.5349729287</v>
      </c>
      <c r="I321" s="729">
        <f t="shared" si="14"/>
        <v>0</v>
      </c>
      <c r="J321" s="729"/>
      <c r="K321" s="881"/>
      <c r="L321" s="735"/>
      <c r="M321" s="881"/>
      <c r="N321" s="735"/>
      <c r="O321" s="735"/>
    </row>
    <row r="322" spans="2:15">
      <c r="B322" s="334"/>
      <c r="C322" s="725">
        <f>IF(D275="","-",+C321+1)</f>
        <v>2055</v>
      </c>
      <c r="D322" s="676">
        <f t="shared" si="17"/>
        <v>5039700</v>
      </c>
      <c r="E322" s="732">
        <f t="shared" si="15"/>
        <v>268784</v>
      </c>
      <c r="F322" s="676">
        <f t="shared" si="16"/>
        <v>4770916</v>
      </c>
      <c r="G322" s="1277">
        <f t="shared" si="12"/>
        <v>798098.02666264668</v>
      </c>
      <c r="H322" s="1280">
        <f t="shared" si="13"/>
        <v>798098.02666264668</v>
      </c>
      <c r="I322" s="729">
        <f t="shared" si="14"/>
        <v>0</v>
      </c>
      <c r="J322" s="729"/>
      <c r="K322" s="881"/>
      <c r="L322" s="735"/>
      <c r="M322" s="881"/>
      <c r="N322" s="735"/>
      <c r="O322" s="735"/>
    </row>
    <row r="323" spans="2:15">
      <c r="B323" s="334"/>
      <c r="C323" s="725">
        <f>IF(D275="","-",+C322+1)</f>
        <v>2056</v>
      </c>
      <c r="D323" s="676">
        <f t="shared" si="17"/>
        <v>4770916</v>
      </c>
      <c r="E323" s="732">
        <f t="shared" si="15"/>
        <v>268784</v>
      </c>
      <c r="F323" s="676">
        <f t="shared" si="16"/>
        <v>4502132</v>
      </c>
      <c r="G323" s="1277">
        <f t="shared" si="12"/>
        <v>769094.51835236466</v>
      </c>
      <c r="H323" s="1280">
        <f t="shared" si="13"/>
        <v>769094.51835236466</v>
      </c>
      <c r="I323" s="729">
        <f t="shared" si="14"/>
        <v>0</v>
      </c>
      <c r="J323" s="729"/>
      <c r="K323" s="881"/>
      <c r="L323" s="735"/>
      <c r="M323" s="881"/>
      <c r="N323" s="735"/>
      <c r="O323" s="735"/>
    </row>
    <row r="324" spans="2:15">
      <c r="B324" s="334"/>
      <c r="C324" s="725">
        <f>IF(D275="","-",+C323+1)</f>
        <v>2057</v>
      </c>
      <c r="D324" s="676">
        <f t="shared" si="17"/>
        <v>4502132</v>
      </c>
      <c r="E324" s="732">
        <f t="shared" si="15"/>
        <v>268784</v>
      </c>
      <c r="F324" s="676">
        <f t="shared" si="16"/>
        <v>4233348</v>
      </c>
      <c r="G324" s="1277">
        <f t="shared" si="12"/>
        <v>740091.01004208275</v>
      </c>
      <c r="H324" s="1280">
        <f t="shared" si="13"/>
        <v>740091.01004208275</v>
      </c>
      <c r="I324" s="729">
        <f t="shared" si="14"/>
        <v>0</v>
      </c>
      <c r="J324" s="729"/>
      <c r="K324" s="881"/>
      <c r="L324" s="735"/>
      <c r="M324" s="881"/>
      <c r="N324" s="735"/>
      <c r="O324" s="735"/>
    </row>
    <row r="325" spans="2:15">
      <c r="B325" s="334"/>
      <c r="C325" s="725">
        <f>IF(D275="","-",+C324+1)</f>
        <v>2058</v>
      </c>
      <c r="D325" s="676">
        <f t="shared" si="17"/>
        <v>4233348</v>
      </c>
      <c r="E325" s="732">
        <f t="shared" si="15"/>
        <v>268784</v>
      </c>
      <c r="F325" s="676">
        <f t="shared" si="16"/>
        <v>3964564</v>
      </c>
      <c r="G325" s="1277">
        <f t="shared" si="12"/>
        <v>711087.50173180061</v>
      </c>
      <c r="H325" s="1280">
        <f t="shared" si="13"/>
        <v>711087.50173180061</v>
      </c>
      <c r="I325" s="729">
        <f t="shared" si="14"/>
        <v>0</v>
      </c>
      <c r="J325" s="729"/>
      <c r="K325" s="881"/>
      <c r="L325" s="735"/>
      <c r="M325" s="881"/>
      <c r="N325" s="735"/>
      <c r="O325" s="735"/>
    </row>
    <row r="326" spans="2:15">
      <c r="B326" s="334"/>
      <c r="C326" s="725">
        <f>IF(D275="","-",+C325+1)</f>
        <v>2059</v>
      </c>
      <c r="D326" s="676">
        <f t="shared" si="17"/>
        <v>3964564</v>
      </c>
      <c r="E326" s="732">
        <f t="shared" si="15"/>
        <v>268784</v>
      </c>
      <c r="F326" s="676">
        <f t="shared" si="16"/>
        <v>3695780</v>
      </c>
      <c r="G326" s="1277">
        <f t="shared" si="12"/>
        <v>682083.99342151871</v>
      </c>
      <c r="H326" s="1280">
        <f t="shared" si="13"/>
        <v>682083.99342151871</v>
      </c>
      <c r="I326" s="729">
        <f t="shared" si="14"/>
        <v>0</v>
      </c>
      <c r="J326" s="729"/>
      <c r="K326" s="881"/>
      <c r="L326" s="735"/>
      <c r="M326" s="881"/>
      <c r="N326" s="735"/>
      <c r="O326" s="735"/>
    </row>
    <row r="327" spans="2:15">
      <c r="B327" s="334"/>
      <c r="C327" s="725">
        <f>IF(D275="","-",+C326+1)</f>
        <v>2060</v>
      </c>
      <c r="D327" s="676">
        <f t="shared" si="17"/>
        <v>3695780</v>
      </c>
      <c r="E327" s="732">
        <f t="shared" si="15"/>
        <v>268784</v>
      </c>
      <c r="F327" s="676">
        <f t="shared" si="16"/>
        <v>3426996</v>
      </c>
      <c r="G327" s="1277">
        <f t="shared" si="12"/>
        <v>653080.48511123657</v>
      </c>
      <c r="H327" s="1280">
        <f t="shared" si="13"/>
        <v>653080.48511123657</v>
      </c>
      <c r="I327" s="729">
        <f t="shared" si="14"/>
        <v>0</v>
      </c>
      <c r="J327" s="729"/>
      <c r="K327" s="881"/>
      <c r="L327" s="735"/>
      <c r="M327" s="881"/>
      <c r="N327" s="735"/>
      <c r="O327" s="735"/>
    </row>
    <row r="328" spans="2:15">
      <c r="B328" s="334"/>
      <c r="C328" s="725">
        <f>IF(D275="","-",+C327+1)</f>
        <v>2061</v>
      </c>
      <c r="D328" s="676">
        <f t="shared" si="17"/>
        <v>3426996</v>
      </c>
      <c r="E328" s="732">
        <f t="shared" si="15"/>
        <v>268784</v>
      </c>
      <c r="F328" s="676">
        <f t="shared" si="16"/>
        <v>3158212</v>
      </c>
      <c r="G328" s="1277">
        <f t="shared" si="12"/>
        <v>624076.97680095467</v>
      </c>
      <c r="H328" s="1280">
        <f t="shared" si="13"/>
        <v>624076.97680095467</v>
      </c>
      <c r="I328" s="729">
        <f t="shared" si="14"/>
        <v>0</v>
      </c>
      <c r="J328" s="729"/>
      <c r="K328" s="881"/>
      <c r="L328" s="735"/>
      <c r="M328" s="881"/>
      <c r="N328" s="735"/>
      <c r="O328" s="735"/>
    </row>
    <row r="329" spans="2:15">
      <c r="B329" s="334"/>
      <c r="C329" s="725">
        <f>IF(D275="","-",+C328+1)</f>
        <v>2062</v>
      </c>
      <c r="D329" s="676">
        <f t="shared" si="17"/>
        <v>3158212</v>
      </c>
      <c r="E329" s="732">
        <f t="shared" si="15"/>
        <v>268784</v>
      </c>
      <c r="F329" s="676">
        <f t="shared" si="16"/>
        <v>2889428</v>
      </c>
      <c r="G329" s="1277">
        <f t="shared" si="12"/>
        <v>595073.46849067265</v>
      </c>
      <c r="H329" s="1280">
        <f t="shared" si="13"/>
        <v>595073.46849067265</v>
      </c>
      <c r="I329" s="729">
        <f t="shared" si="14"/>
        <v>0</v>
      </c>
      <c r="J329" s="729"/>
      <c r="K329" s="881"/>
      <c r="L329" s="735"/>
      <c r="M329" s="881"/>
      <c r="N329" s="735"/>
      <c r="O329" s="735"/>
    </row>
    <row r="330" spans="2:15">
      <c r="B330" s="334"/>
      <c r="C330" s="725">
        <f>IF(D275="","-",+C329+1)</f>
        <v>2063</v>
      </c>
      <c r="D330" s="676">
        <f t="shared" si="17"/>
        <v>2889428</v>
      </c>
      <c r="E330" s="732">
        <f t="shared" si="15"/>
        <v>268784</v>
      </c>
      <c r="F330" s="676">
        <f t="shared" si="16"/>
        <v>2620644</v>
      </c>
      <c r="G330" s="1277">
        <f t="shared" si="12"/>
        <v>566069.96018039063</v>
      </c>
      <c r="H330" s="1280">
        <f t="shared" si="13"/>
        <v>566069.96018039063</v>
      </c>
      <c r="I330" s="729">
        <f t="shared" si="14"/>
        <v>0</v>
      </c>
      <c r="J330" s="729"/>
      <c r="K330" s="881"/>
      <c r="L330" s="735"/>
      <c r="M330" s="881"/>
      <c r="N330" s="735"/>
      <c r="O330" s="735"/>
    </row>
    <row r="331" spans="2:15">
      <c r="B331" s="334"/>
      <c r="C331" s="725">
        <f>IF(D275="","-",+C330+1)</f>
        <v>2064</v>
      </c>
      <c r="D331" s="676">
        <f t="shared" si="17"/>
        <v>2620644</v>
      </c>
      <c r="E331" s="732">
        <f t="shared" si="15"/>
        <v>268784</v>
      </c>
      <c r="F331" s="676">
        <f t="shared" si="16"/>
        <v>2351860</v>
      </c>
      <c r="G331" s="1277">
        <f t="shared" si="12"/>
        <v>537066.45187010861</v>
      </c>
      <c r="H331" s="1280">
        <f t="shared" si="13"/>
        <v>537066.45187010861</v>
      </c>
      <c r="I331" s="729">
        <f t="shared" si="14"/>
        <v>0</v>
      </c>
      <c r="J331" s="729"/>
      <c r="K331" s="881"/>
      <c r="L331" s="735"/>
      <c r="M331" s="881"/>
      <c r="N331" s="735"/>
      <c r="O331" s="735"/>
    </row>
    <row r="332" spans="2:15">
      <c r="B332" s="334"/>
      <c r="C332" s="725">
        <f>IF(D275="","-",+C331+1)</f>
        <v>2065</v>
      </c>
      <c r="D332" s="676">
        <f t="shared" si="17"/>
        <v>2351860</v>
      </c>
      <c r="E332" s="732">
        <f t="shared" si="15"/>
        <v>268784</v>
      </c>
      <c r="F332" s="676">
        <f t="shared" si="16"/>
        <v>2083076</v>
      </c>
      <c r="G332" s="1277">
        <f t="shared" si="12"/>
        <v>508062.94355982658</v>
      </c>
      <c r="H332" s="1280">
        <f t="shared" si="13"/>
        <v>508062.94355982658</v>
      </c>
      <c r="I332" s="729">
        <f t="shared" si="14"/>
        <v>0</v>
      </c>
      <c r="J332" s="729"/>
      <c r="K332" s="881"/>
      <c r="L332" s="735"/>
      <c r="M332" s="881"/>
      <c r="N332" s="735"/>
      <c r="O332" s="735"/>
    </row>
    <row r="333" spans="2:15">
      <c r="B333" s="334"/>
      <c r="C333" s="725">
        <f>IF(D275="","-",+C332+1)</f>
        <v>2066</v>
      </c>
      <c r="D333" s="676">
        <f t="shared" si="17"/>
        <v>2083076</v>
      </c>
      <c r="E333" s="732">
        <f t="shared" si="15"/>
        <v>268784</v>
      </c>
      <c r="F333" s="676">
        <f t="shared" si="16"/>
        <v>1814292</v>
      </c>
      <c r="G333" s="1277">
        <f t="shared" si="12"/>
        <v>479059.43524954456</v>
      </c>
      <c r="H333" s="1280">
        <f t="shared" si="13"/>
        <v>479059.43524954456</v>
      </c>
      <c r="I333" s="729">
        <f t="shared" si="14"/>
        <v>0</v>
      </c>
      <c r="J333" s="729"/>
      <c r="K333" s="881"/>
      <c r="L333" s="735"/>
      <c r="M333" s="881"/>
      <c r="N333" s="735"/>
      <c r="O333" s="735"/>
    </row>
    <row r="334" spans="2:15">
      <c r="B334" s="334"/>
      <c r="C334" s="725">
        <f>IF(D275="","-",+C333+1)</f>
        <v>2067</v>
      </c>
      <c r="D334" s="676">
        <f t="shared" si="17"/>
        <v>1814292</v>
      </c>
      <c r="E334" s="732">
        <f t="shared" si="15"/>
        <v>268784</v>
      </c>
      <c r="F334" s="676">
        <f t="shared" si="16"/>
        <v>1545508</v>
      </c>
      <c r="G334" s="1277">
        <f t="shared" si="12"/>
        <v>450055.92693926254</v>
      </c>
      <c r="H334" s="1280">
        <f t="shared" si="13"/>
        <v>450055.92693926254</v>
      </c>
      <c r="I334" s="729">
        <f t="shared" si="14"/>
        <v>0</v>
      </c>
      <c r="J334" s="729"/>
      <c r="K334" s="881"/>
      <c r="L334" s="735"/>
      <c r="M334" s="881"/>
      <c r="N334" s="735"/>
      <c r="O334" s="735"/>
    </row>
    <row r="335" spans="2:15">
      <c r="B335" s="334"/>
      <c r="C335" s="725">
        <f>IF(D275="","-",+C334+1)</f>
        <v>2068</v>
      </c>
      <c r="D335" s="676">
        <f t="shared" si="17"/>
        <v>1545508</v>
      </c>
      <c r="E335" s="732">
        <f t="shared" si="15"/>
        <v>268784</v>
      </c>
      <c r="F335" s="676">
        <f t="shared" si="16"/>
        <v>1276724</v>
      </c>
      <c r="G335" s="1277">
        <f t="shared" si="12"/>
        <v>421052.41862898052</v>
      </c>
      <c r="H335" s="1280">
        <f t="shared" si="13"/>
        <v>421052.41862898052</v>
      </c>
      <c r="I335" s="729">
        <f t="shared" si="14"/>
        <v>0</v>
      </c>
      <c r="J335" s="729"/>
      <c r="K335" s="881"/>
      <c r="L335" s="735"/>
      <c r="M335" s="881"/>
      <c r="N335" s="735"/>
      <c r="O335" s="735"/>
    </row>
    <row r="336" spans="2:15">
      <c r="B336" s="334"/>
      <c r="C336" s="725">
        <f>IF(D275="","-",+C335+1)</f>
        <v>2069</v>
      </c>
      <c r="D336" s="676">
        <f t="shared" si="17"/>
        <v>1276724</v>
      </c>
      <c r="E336" s="732">
        <f t="shared" si="15"/>
        <v>268784</v>
      </c>
      <c r="F336" s="676">
        <f t="shared" si="16"/>
        <v>1007940</v>
      </c>
      <c r="G336" s="1277">
        <f t="shared" si="12"/>
        <v>392048.91031869856</v>
      </c>
      <c r="H336" s="1280">
        <f t="shared" si="13"/>
        <v>392048.91031869856</v>
      </c>
      <c r="I336" s="729">
        <f t="shared" si="14"/>
        <v>0</v>
      </c>
      <c r="J336" s="729"/>
      <c r="K336" s="881"/>
      <c r="L336" s="735"/>
      <c r="M336" s="881"/>
      <c r="N336" s="735"/>
      <c r="O336" s="735"/>
    </row>
    <row r="337" spans="1:16">
      <c r="B337" s="334"/>
      <c r="C337" s="725">
        <f>IF(D275="","-",+C336+1)</f>
        <v>2070</v>
      </c>
      <c r="D337" s="676">
        <f t="shared" si="17"/>
        <v>1007940</v>
      </c>
      <c r="E337" s="732">
        <f t="shared" si="15"/>
        <v>268784</v>
      </c>
      <c r="F337" s="676">
        <f t="shared" si="16"/>
        <v>739156</v>
      </c>
      <c r="G337" s="1277">
        <f t="shared" si="12"/>
        <v>363045.40200841654</v>
      </c>
      <c r="H337" s="1280">
        <f t="shared" si="13"/>
        <v>363045.40200841654</v>
      </c>
      <c r="I337" s="729">
        <f t="shared" si="14"/>
        <v>0</v>
      </c>
      <c r="J337" s="729"/>
      <c r="K337" s="881"/>
      <c r="L337" s="735"/>
      <c r="M337" s="881"/>
      <c r="N337" s="735"/>
      <c r="O337" s="735"/>
    </row>
    <row r="338" spans="1:16">
      <c r="B338" s="334"/>
      <c r="C338" s="725">
        <f>IF(D275="","-",+C337+1)</f>
        <v>2071</v>
      </c>
      <c r="D338" s="676">
        <f t="shared" si="17"/>
        <v>739156</v>
      </c>
      <c r="E338" s="732">
        <f t="shared" si="15"/>
        <v>268784</v>
      </c>
      <c r="F338" s="676">
        <f t="shared" si="16"/>
        <v>470372</v>
      </c>
      <c r="G338" s="1277">
        <f t="shared" si="12"/>
        <v>334041.89369813452</v>
      </c>
      <c r="H338" s="1280">
        <f t="shared" si="13"/>
        <v>334041.89369813452</v>
      </c>
      <c r="I338" s="729">
        <f t="shared" si="14"/>
        <v>0</v>
      </c>
      <c r="J338" s="729"/>
      <c r="K338" s="881"/>
      <c r="L338" s="735"/>
      <c r="M338" s="881"/>
      <c r="N338" s="735"/>
      <c r="O338" s="735"/>
    </row>
    <row r="339" spans="1:16">
      <c r="B339" s="334"/>
      <c r="C339" s="725">
        <f>IF(D275="","-",+C338+1)</f>
        <v>2072</v>
      </c>
      <c r="D339" s="676">
        <f t="shared" si="17"/>
        <v>470372</v>
      </c>
      <c r="E339" s="732">
        <f t="shared" si="15"/>
        <v>268784</v>
      </c>
      <c r="F339" s="676">
        <f t="shared" si="16"/>
        <v>201588</v>
      </c>
      <c r="G339" s="1277">
        <f t="shared" si="12"/>
        <v>305038.3853878525</v>
      </c>
      <c r="H339" s="1280">
        <f t="shared" si="13"/>
        <v>305038.3853878525</v>
      </c>
      <c r="I339" s="729">
        <f t="shared" si="14"/>
        <v>0</v>
      </c>
      <c r="J339" s="729"/>
      <c r="K339" s="881"/>
      <c r="L339" s="735"/>
      <c r="M339" s="881"/>
      <c r="N339" s="735"/>
      <c r="O339" s="735"/>
    </row>
    <row r="340" spans="1:16" ht="13.5" thickBot="1">
      <c r="B340" s="334"/>
      <c r="C340" s="737">
        <f>IF(D275="","-",+C339+1)</f>
        <v>2073</v>
      </c>
      <c r="D340" s="738">
        <f t="shared" si="17"/>
        <v>201588</v>
      </c>
      <c r="E340" s="739">
        <f t="shared" si="15"/>
        <v>201588</v>
      </c>
      <c r="F340" s="738">
        <f t="shared" si="16"/>
        <v>0</v>
      </c>
      <c r="G340" s="1287">
        <f t="shared" si="12"/>
        <v>212464.31561635574</v>
      </c>
      <c r="H340" s="1287">
        <f t="shared" si="13"/>
        <v>212464.31561635574</v>
      </c>
      <c r="I340" s="741">
        <f t="shared" si="14"/>
        <v>0</v>
      </c>
      <c r="J340" s="729"/>
      <c r="K340" s="882"/>
      <c r="L340" s="743"/>
      <c r="M340" s="882"/>
      <c r="N340" s="743"/>
      <c r="O340" s="743"/>
    </row>
    <row r="341" spans="1:16">
      <c r="B341" s="334"/>
      <c r="C341" s="676" t="s">
        <v>289</v>
      </c>
      <c r="D341" s="1258"/>
      <c r="E341" s="1258">
        <f>SUM(E281:E340)</f>
        <v>15858256</v>
      </c>
      <c r="F341" s="1258"/>
      <c r="G341" s="1258">
        <f>SUM(G281:G340)</f>
        <v>67622267.456775814</v>
      </c>
      <c r="H341" s="1258">
        <f>SUM(H281:H340)</f>
        <v>67622267.456775814</v>
      </c>
      <c r="I341" s="1258">
        <f>SUM(I281:I340)</f>
        <v>0</v>
      </c>
      <c r="J341" s="1258"/>
      <c r="K341" s="1258"/>
      <c r="L341" s="1258"/>
      <c r="M341" s="1258"/>
      <c r="N341" s="1258"/>
      <c r="O341" s="543"/>
    </row>
    <row r="342" spans="1:16">
      <c r="B342" s="334"/>
      <c r="D342" s="566"/>
      <c r="E342" s="543"/>
      <c r="F342" s="543"/>
      <c r="G342" s="543"/>
      <c r="H342" s="1257"/>
      <c r="I342" s="1257"/>
      <c r="J342" s="1258"/>
      <c r="K342" s="1257"/>
      <c r="L342" s="1257"/>
      <c r="M342" s="1257"/>
      <c r="N342" s="1257"/>
      <c r="O342" s="543"/>
    </row>
    <row r="343" spans="1:16">
      <c r="B343" s="334"/>
      <c r="C343" s="543" t="s">
        <v>602</v>
      </c>
      <c r="D343" s="566"/>
      <c r="E343" s="543"/>
      <c r="F343" s="543"/>
      <c r="G343" s="543"/>
      <c r="H343" s="1257"/>
      <c r="I343" s="1257"/>
      <c r="J343" s="1258"/>
      <c r="K343" s="1257"/>
      <c r="L343" s="1257"/>
      <c r="M343" s="1257"/>
      <c r="N343" s="1257"/>
      <c r="O343" s="543"/>
    </row>
    <row r="344" spans="1:16">
      <c r="B344" s="334"/>
      <c r="D344" s="566"/>
      <c r="E344" s="543"/>
      <c r="F344" s="543"/>
      <c r="G344" s="543"/>
      <c r="H344" s="1257"/>
      <c r="I344" s="1257"/>
      <c r="J344" s="1258"/>
      <c r="K344" s="1257"/>
      <c r="L344" s="1257"/>
      <c r="M344" s="1257"/>
      <c r="N344" s="1257"/>
      <c r="O344" s="543"/>
    </row>
    <row r="345" spans="1:16">
      <c r="B345" s="334"/>
      <c r="C345" s="579" t="s">
        <v>603</v>
      </c>
      <c r="D345" s="676"/>
      <c r="E345" s="676"/>
      <c r="F345" s="676"/>
      <c r="G345" s="1258"/>
      <c r="H345" s="1258"/>
      <c r="I345" s="677"/>
      <c r="J345" s="677"/>
      <c r="K345" s="677"/>
      <c r="L345" s="677"/>
      <c r="M345" s="677"/>
      <c r="N345" s="677"/>
      <c r="O345" s="543"/>
    </row>
    <row r="346" spans="1:16">
      <c r="B346" s="334"/>
      <c r="C346" s="579" t="s">
        <v>477</v>
      </c>
      <c r="D346" s="676"/>
      <c r="E346" s="676"/>
      <c r="F346" s="676"/>
      <c r="G346" s="1258"/>
      <c r="H346" s="1258"/>
      <c r="I346" s="677"/>
      <c r="J346" s="677"/>
      <c r="K346" s="677"/>
      <c r="L346" s="677"/>
      <c r="M346" s="677"/>
      <c r="N346" s="677"/>
      <c r="O346" s="543"/>
    </row>
    <row r="347" spans="1:16">
      <c r="B347" s="334"/>
      <c r="C347" s="579" t="s">
        <v>290</v>
      </c>
      <c r="D347" s="676"/>
      <c r="E347" s="676"/>
      <c r="F347" s="676"/>
      <c r="G347" s="1258"/>
      <c r="H347" s="1258"/>
      <c r="I347" s="677"/>
      <c r="J347" s="677"/>
      <c r="K347" s="677"/>
      <c r="L347" s="677"/>
      <c r="M347" s="677"/>
      <c r="N347" s="677"/>
      <c r="O347" s="543"/>
    </row>
    <row r="348" spans="1:16">
      <c r="B348" s="334"/>
      <c r="C348" s="675"/>
      <c r="D348" s="676"/>
      <c r="E348" s="676"/>
      <c r="F348" s="676"/>
      <c r="G348" s="1258"/>
      <c r="H348" s="1258"/>
      <c r="I348" s="677"/>
      <c r="J348" s="677"/>
      <c r="K348" s="677"/>
      <c r="L348" s="677"/>
      <c r="M348" s="677"/>
      <c r="N348" s="677"/>
      <c r="O348" s="543"/>
    </row>
    <row r="349" spans="1:16">
      <c r="B349" s="334"/>
      <c r="C349" s="1436" t="s">
        <v>461</v>
      </c>
      <c r="D349" s="1436"/>
      <c r="E349" s="1436"/>
      <c r="F349" s="1436"/>
      <c r="G349" s="1436"/>
      <c r="H349" s="1436"/>
      <c r="I349" s="1436"/>
      <c r="J349" s="1436"/>
      <c r="K349" s="1436"/>
      <c r="L349" s="1436"/>
      <c r="M349" s="1436"/>
      <c r="N349" s="1436"/>
      <c r="O349" s="1436"/>
    </row>
    <row r="350" spans="1:16">
      <c r="B350" s="334"/>
      <c r="C350" s="1436"/>
      <c r="D350" s="1436"/>
      <c r="E350" s="1436"/>
      <c r="F350" s="1436"/>
      <c r="G350" s="1436"/>
      <c r="H350" s="1436"/>
      <c r="I350" s="1436"/>
      <c r="J350" s="1436"/>
      <c r="K350" s="1436"/>
      <c r="L350" s="1436"/>
      <c r="M350" s="1436"/>
      <c r="N350" s="1436"/>
      <c r="O350" s="1436"/>
    </row>
    <row r="351" spans="1:16" ht="20.25">
      <c r="A351" s="678" t="s">
        <v>993</v>
      </c>
      <c r="B351" s="543"/>
      <c r="C351" s="658"/>
      <c r="D351" s="566"/>
      <c r="E351" s="543"/>
      <c r="F351" s="648"/>
      <c r="G351" s="543"/>
      <c r="H351" s="1257"/>
      <c r="K351" s="679"/>
      <c r="L351" s="679"/>
      <c r="M351" s="679"/>
      <c r="N351" s="594" t="str">
        <f>"Page "&amp;SUM(P$6:P351)&amp;" of "</f>
        <v xml:space="preserve">Page 5 of </v>
      </c>
      <c r="O351" s="595">
        <f>COUNT(P$6:P$59606)</f>
        <v>14</v>
      </c>
      <c r="P351" s="543">
        <v>1</v>
      </c>
    </row>
    <row r="352" spans="1:16">
      <c r="B352" s="543"/>
      <c r="C352" s="543"/>
      <c r="D352" s="566"/>
      <c r="E352" s="543"/>
      <c r="F352" s="543"/>
      <c r="G352" s="543"/>
      <c r="H352" s="1257"/>
      <c r="I352" s="543"/>
      <c r="J352" s="591"/>
      <c r="K352" s="543"/>
      <c r="L352" s="543"/>
      <c r="M352" s="543"/>
      <c r="N352" s="543"/>
      <c r="O352" s="543"/>
    </row>
    <row r="353" spans="1:15" ht="18">
      <c r="B353" s="598" t="s">
        <v>175</v>
      </c>
      <c r="C353" s="680" t="s">
        <v>291</v>
      </c>
      <c r="D353" s="566"/>
      <c r="E353" s="543"/>
      <c r="F353" s="543"/>
      <c r="G353" s="543"/>
      <c r="H353" s="1257"/>
      <c r="I353" s="1257"/>
      <c r="J353" s="1258"/>
      <c r="K353" s="1257"/>
      <c r="L353" s="1257"/>
      <c r="M353" s="1257"/>
      <c r="N353" s="1257"/>
      <c r="O353" s="543"/>
    </row>
    <row r="354" spans="1:15" ht="18.75">
      <c r="B354" s="598"/>
      <c r="C354" s="597"/>
      <c r="D354" s="566"/>
      <c r="E354" s="543"/>
      <c r="F354" s="543"/>
      <c r="G354" s="543"/>
      <c r="H354" s="1257"/>
      <c r="I354" s="1257"/>
      <c r="J354" s="1258"/>
      <c r="K354" s="1257"/>
      <c r="L354" s="1257"/>
      <c r="M354" s="1257"/>
      <c r="N354" s="1257"/>
      <c r="O354" s="543"/>
    </row>
    <row r="355" spans="1:15" ht="18.75">
      <c r="B355" s="598"/>
      <c r="C355" s="597" t="s">
        <v>292</v>
      </c>
      <c r="D355" s="566"/>
      <c r="E355" s="543"/>
      <c r="F355" s="543"/>
      <c r="G355" s="543"/>
      <c r="H355" s="1257"/>
      <c r="I355" s="1257"/>
      <c r="J355" s="1258"/>
      <c r="K355" s="1257"/>
      <c r="L355" s="1257"/>
      <c r="M355" s="1257"/>
      <c r="N355" s="1257"/>
      <c r="O355" s="543"/>
    </row>
    <row r="356" spans="1:15" ht="15.75" thickBot="1">
      <c r="B356" s="334"/>
      <c r="C356" s="400"/>
      <c r="D356" s="566"/>
      <c r="E356" s="543"/>
      <c r="F356" s="543"/>
      <c r="G356" s="543"/>
      <c r="H356" s="1257"/>
      <c r="I356" s="1257"/>
      <c r="J356" s="1258"/>
      <c r="K356" s="1257"/>
      <c r="L356" s="1257"/>
      <c r="M356" s="1257"/>
      <c r="N356" s="1257"/>
      <c r="O356" s="543"/>
    </row>
    <row r="357" spans="1:15" ht="15.75">
      <c r="B357" s="334"/>
      <c r="C357" s="599" t="s">
        <v>293</v>
      </c>
      <c r="D357" s="566"/>
      <c r="E357" s="543"/>
      <c r="F357" s="543"/>
      <c r="G357" s="1259"/>
      <c r="H357" s="543" t="s">
        <v>272</v>
      </c>
      <c r="I357" s="543"/>
      <c r="J357" s="591"/>
      <c r="K357" s="681" t="s">
        <v>297</v>
      </c>
      <c r="L357" s="682"/>
      <c r="M357" s="683"/>
      <c r="N357" s="1260">
        <f>VLOOKUP(I363,C370:O429,5)</f>
        <v>286648.75999416132</v>
      </c>
      <c r="O357" s="543"/>
    </row>
    <row r="358" spans="1:15" ht="15.75">
      <c r="B358" s="334"/>
      <c r="C358" s="599"/>
      <c r="D358" s="566"/>
      <c r="E358" s="543"/>
      <c r="F358" s="543"/>
      <c r="G358" s="543"/>
      <c r="H358" s="1261"/>
      <c r="I358" s="1261"/>
      <c r="J358" s="1262"/>
      <c r="K358" s="686" t="s">
        <v>298</v>
      </c>
      <c r="L358" s="1263"/>
      <c r="M358" s="591"/>
      <c r="N358" s="1264">
        <f>VLOOKUP(I363,C370:O429,6)</f>
        <v>286648.75999416132</v>
      </c>
      <c r="O358" s="543"/>
    </row>
    <row r="359" spans="1:15" ht="13.5" thickBot="1">
      <c r="B359" s="334"/>
      <c r="C359" s="687" t="s">
        <v>294</v>
      </c>
      <c r="D359" s="1434" t="s">
        <v>998</v>
      </c>
      <c r="E359" s="1434"/>
      <c r="F359" s="1434"/>
      <c r="G359" s="1434"/>
      <c r="H359" s="1257"/>
      <c r="I359" s="1257"/>
      <c r="J359" s="1258"/>
      <c r="K359" s="1265" t="s">
        <v>451</v>
      </c>
      <c r="L359" s="1266"/>
      <c r="M359" s="1266"/>
      <c r="N359" s="1267">
        <f>+N358-N357</f>
        <v>0</v>
      </c>
      <c r="O359" s="543"/>
    </row>
    <row r="360" spans="1:15">
      <c r="B360" s="334"/>
      <c r="C360" s="689"/>
      <c r="D360" s="690"/>
      <c r="E360" s="674"/>
      <c r="F360" s="674"/>
      <c r="G360" s="691"/>
      <c r="H360" s="1257"/>
      <c r="I360" s="1257"/>
      <c r="J360" s="1258"/>
      <c r="K360" s="1257"/>
      <c r="L360" s="1257"/>
      <c r="M360" s="1257"/>
      <c r="N360" s="1257"/>
      <c r="O360" s="543"/>
    </row>
    <row r="361" spans="1:15" ht="13.5" thickBot="1">
      <c r="B361" s="334"/>
      <c r="C361" s="692"/>
      <c r="D361" s="693"/>
      <c r="E361" s="691"/>
      <c r="F361" s="691"/>
      <c r="G361" s="691"/>
      <c r="H361" s="691"/>
      <c r="I361" s="691"/>
      <c r="J361" s="694"/>
      <c r="K361" s="691"/>
      <c r="L361" s="691"/>
      <c r="M361" s="691"/>
      <c r="N361" s="691"/>
      <c r="O361" s="579"/>
    </row>
    <row r="362" spans="1:15" ht="13.5" thickBot="1">
      <c r="B362" s="334"/>
      <c r="C362" s="696" t="s">
        <v>295</v>
      </c>
      <c r="D362" s="697"/>
      <c r="E362" s="697"/>
      <c r="F362" s="697"/>
      <c r="G362" s="697"/>
      <c r="H362" s="697"/>
      <c r="I362" s="698"/>
      <c r="J362" s="699"/>
      <c r="K362" s="543"/>
      <c r="L362" s="543"/>
      <c r="M362" s="543"/>
      <c r="N362" s="543"/>
      <c r="O362" s="700"/>
    </row>
    <row r="363" spans="1:15" ht="15">
      <c r="C363" s="702" t="s">
        <v>273</v>
      </c>
      <c r="D363" s="1268">
        <v>2419910</v>
      </c>
      <c r="E363" s="658" t="s">
        <v>274</v>
      </c>
      <c r="G363" s="703"/>
      <c r="H363" s="703"/>
      <c r="I363" s="704">
        <v>2018</v>
      </c>
      <c r="J363" s="589"/>
      <c r="K363" s="1435" t="s">
        <v>460</v>
      </c>
      <c r="L363" s="1435"/>
      <c r="M363" s="1435"/>
      <c r="N363" s="1435"/>
      <c r="O363" s="1435"/>
    </row>
    <row r="364" spans="1:15">
      <c r="C364" s="702" t="s">
        <v>276</v>
      </c>
      <c r="D364" s="876">
        <v>2014</v>
      </c>
      <c r="E364" s="702" t="s">
        <v>277</v>
      </c>
      <c r="F364" s="703"/>
      <c r="H364" s="334"/>
      <c r="I364" s="879">
        <f>IF(G357="",0,$F$15)</f>
        <v>0</v>
      </c>
      <c r="J364" s="705"/>
      <c r="K364" s="1258" t="s">
        <v>460</v>
      </c>
    </row>
    <row r="365" spans="1:15">
      <c r="C365" s="702" t="s">
        <v>278</v>
      </c>
      <c r="D365" s="1269">
        <v>12</v>
      </c>
      <c r="E365" s="702" t="s">
        <v>279</v>
      </c>
      <c r="F365" s="703"/>
      <c r="H365" s="334"/>
      <c r="I365" s="706">
        <f>$G$70</f>
        <v>0.10790637951024619</v>
      </c>
      <c r="J365" s="707"/>
      <c r="K365" s="334" t="str">
        <f>"          INPUT PROJECTED ARR (WITH &amp; WITHOUT INCENTIVES) FROM EACH PRIOR YEAR"</f>
        <v xml:space="preserve">          INPUT PROJECTED ARR (WITH &amp; WITHOUT INCENTIVES) FROM EACH PRIOR YEAR</v>
      </c>
    </row>
    <row r="366" spans="1:15">
      <c r="C366" s="702" t="s">
        <v>280</v>
      </c>
      <c r="D366" s="708">
        <f>G$79</f>
        <v>59</v>
      </c>
      <c r="E366" s="702" t="s">
        <v>281</v>
      </c>
      <c r="F366" s="703"/>
      <c r="H366" s="334"/>
      <c r="I366" s="706">
        <f>IF(G357="",I365,$G$67)</f>
        <v>0.10790637951024619</v>
      </c>
      <c r="J366" s="709"/>
      <c r="K366" s="334" t="s">
        <v>358</v>
      </c>
    </row>
    <row r="367" spans="1:15" ht="13.5" thickBot="1">
      <c r="C367" s="702" t="s">
        <v>282</v>
      </c>
      <c r="D367" s="878" t="s">
        <v>995</v>
      </c>
      <c r="E367" s="710" t="s">
        <v>283</v>
      </c>
      <c r="F367" s="711"/>
      <c r="G367" s="712"/>
      <c r="H367" s="712"/>
      <c r="I367" s="1267">
        <f>IF(D363=0,0,D363/D366)</f>
        <v>41015.423728813563</v>
      </c>
      <c r="J367" s="1258"/>
      <c r="K367" s="1258" t="s">
        <v>364</v>
      </c>
      <c r="L367" s="1258"/>
      <c r="M367" s="1258"/>
      <c r="N367" s="1258"/>
      <c r="O367" s="591"/>
    </row>
    <row r="368" spans="1:15" ht="51">
      <c r="A368" s="530"/>
      <c r="B368" s="530"/>
      <c r="C368" s="713" t="s">
        <v>273</v>
      </c>
      <c r="D368" s="1270" t="s">
        <v>284</v>
      </c>
      <c r="E368" s="1271" t="s">
        <v>285</v>
      </c>
      <c r="F368" s="1270" t="s">
        <v>286</v>
      </c>
      <c r="G368" s="1271" t="s">
        <v>357</v>
      </c>
      <c r="H368" s="1272" t="s">
        <v>357</v>
      </c>
      <c r="I368" s="713" t="s">
        <v>296</v>
      </c>
      <c r="J368" s="717"/>
      <c r="K368" s="1271" t="s">
        <v>366</v>
      </c>
      <c r="L368" s="1273"/>
      <c r="M368" s="1271" t="s">
        <v>366</v>
      </c>
      <c r="N368" s="1273"/>
      <c r="O368" s="1273"/>
    </row>
    <row r="369" spans="2:15" ht="13.5" thickBot="1">
      <c r="B369" s="334"/>
      <c r="C369" s="719" t="s">
        <v>178</v>
      </c>
      <c r="D369" s="720" t="s">
        <v>179</v>
      </c>
      <c r="E369" s="719" t="s">
        <v>37</v>
      </c>
      <c r="F369" s="720" t="s">
        <v>179</v>
      </c>
      <c r="G369" s="1274" t="s">
        <v>299</v>
      </c>
      <c r="H369" s="1275" t="s">
        <v>301</v>
      </c>
      <c r="I369" s="723" t="s">
        <v>390</v>
      </c>
      <c r="J369" s="724"/>
      <c r="K369" s="1274" t="s">
        <v>288</v>
      </c>
      <c r="L369" s="1276"/>
      <c r="M369" s="1274" t="s">
        <v>301</v>
      </c>
      <c r="N369" s="1276"/>
      <c r="O369" s="1276"/>
    </row>
    <row r="370" spans="2:15">
      <c r="B370" s="334"/>
      <c r="C370" s="725">
        <f>IF(D364= "","-",D364)</f>
        <v>2014</v>
      </c>
      <c r="D370" s="676">
        <f>+D363</f>
        <v>2419910</v>
      </c>
      <c r="E370" s="1277">
        <f>+I367/12*(12-D365)</f>
        <v>0</v>
      </c>
      <c r="F370" s="676">
        <f>+D370-E370</f>
        <v>2419910</v>
      </c>
      <c r="G370" s="1278">
        <f>+$I$365*((D370+F370)/2)+E370</f>
        <v>261123.72684063987</v>
      </c>
      <c r="H370" s="1279">
        <f>+$I$366*((D370+F370)/2)+E370</f>
        <v>261123.72684063987</v>
      </c>
      <c r="I370" s="729">
        <f>+H370-G370</f>
        <v>0</v>
      </c>
      <c r="J370" s="729"/>
      <c r="K370" s="880">
        <v>222712</v>
      </c>
      <c r="L370" s="731"/>
      <c r="M370" s="880">
        <v>222712</v>
      </c>
      <c r="N370" s="731"/>
      <c r="O370" s="731"/>
    </row>
    <row r="371" spans="2:15">
      <c r="B371" s="334"/>
      <c r="C371" s="725">
        <f>IF(D364="","-",+C370+1)</f>
        <v>2015</v>
      </c>
      <c r="D371" s="676">
        <f>F370</f>
        <v>2419910</v>
      </c>
      <c r="E371" s="732">
        <f>IF(D371&gt;$I$367,$I$367,D371)</f>
        <v>41015.423728813563</v>
      </c>
      <c r="F371" s="676">
        <f>+D371-E371</f>
        <v>2378894.5762711866</v>
      </c>
      <c r="G371" s="1277">
        <f t="shared" ref="G371:G429" si="18">+$I$365*((D371+F371)/2)+E371</f>
        <v>299926.23763012595</v>
      </c>
      <c r="H371" s="1280">
        <f t="shared" ref="H371:H429" si="19">+$I$366*((D371+F371)/2)+E371</f>
        <v>299926.23763012595</v>
      </c>
      <c r="I371" s="729">
        <f t="shared" ref="I371:I429" si="20">+H371-G371</f>
        <v>0</v>
      </c>
      <c r="J371" s="729"/>
      <c r="K371" s="881">
        <v>317491</v>
      </c>
      <c r="L371" s="735"/>
      <c r="M371" s="881">
        <v>317491</v>
      </c>
      <c r="N371" s="735"/>
      <c r="O371" s="735"/>
    </row>
    <row r="372" spans="2:15">
      <c r="B372" s="334"/>
      <c r="C372" s="725">
        <f>IF(D364="","-",+C371+1)</f>
        <v>2016</v>
      </c>
      <c r="D372" s="676">
        <f>F371</f>
        <v>2378894.5762711866</v>
      </c>
      <c r="E372" s="732">
        <f t="shared" ref="E372:E429" si="21">IF(D372&gt;$I$367,$I$367,D372)</f>
        <v>41015.423728813563</v>
      </c>
      <c r="F372" s="676">
        <f t="shared" ref="F372:F429" si="22">+D372-E372</f>
        <v>2337879.1525423732</v>
      </c>
      <c r="G372" s="1277">
        <f t="shared" si="18"/>
        <v>295500.41175147111</v>
      </c>
      <c r="H372" s="1280">
        <f t="shared" si="19"/>
        <v>295500.41175147111</v>
      </c>
      <c r="I372" s="729">
        <f t="shared" si="20"/>
        <v>0</v>
      </c>
      <c r="J372" s="729"/>
      <c r="K372" s="881">
        <v>303455</v>
      </c>
      <c r="L372" s="1290"/>
      <c r="M372" s="881">
        <v>303455</v>
      </c>
      <c r="N372" s="735"/>
      <c r="O372" s="735"/>
    </row>
    <row r="373" spans="2:15">
      <c r="B373" s="334"/>
      <c r="C373" s="725">
        <f>IF(D364="","-",+C372+1)</f>
        <v>2017</v>
      </c>
      <c r="D373" s="676">
        <f t="shared" ref="D373:D429" si="23">F372</f>
        <v>2337879.1525423732</v>
      </c>
      <c r="E373" s="732">
        <f t="shared" si="21"/>
        <v>41015.423728813563</v>
      </c>
      <c r="F373" s="676">
        <f t="shared" si="22"/>
        <v>2296863.7288135597</v>
      </c>
      <c r="G373" s="1277">
        <f t="shared" si="18"/>
        <v>291074.58587281615</v>
      </c>
      <c r="H373" s="1280">
        <f t="shared" si="19"/>
        <v>291074.58587281615</v>
      </c>
      <c r="I373" s="729">
        <f t="shared" si="20"/>
        <v>0</v>
      </c>
      <c r="J373" s="729"/>
      <c r="K373" s="881">
        <v>317491</v>
      </c>
      <c r="L373" s="735"/>
      <c r="M373" s="881">
        <v>317491</v>
      </c>
      <c r="N373" s="735"/>
      <c r="O373" s="735"/>
    </row>
    <row r="374" spans="2:15">
      <c r="B374" s="334"/>
      <c r="C374" s="1281">
        <f>IF(D364="","-",+C373+1)</f>
        <v>2018</v>
      </c>
      <c r="D374" s="1282">
        <f t="shared" si="23"/>
        <v>2296863.7288135597</v>
      </c>
      <c r="E374" s="1283">
        <f t="shared" si="21"/>
        <v>41015.423728813563</v>
      </c>
      <c r="F374" s="1282">
        <f t="shared" si="22"/>
        <v>2255848.3050847463</v>
      </c>
      <c r="G374" s="1284">
        <f t="shared" si="18"/>
        <v>286648.75999416132</v>
      </c>
      <c r="H374" s="1285">
        <f t="shared" si="19"/>
        <v>286648.75999416132</v>
      </c>
      <c r="I374" s="1291">
        <f t="shared" si="20"/>
        <v>0</v>
      </c>
      <c r="J374" s="1291"/>
      <c r="K374" s="881"/>
      <c r="L374" s="735"/>
      <c r="M374" s="881"/>
      <c r="N374" s="735"/>
      <c r="O374" s="735"/>
    </row>
    <row r="375" spans="2:15">
      <c r="B375" s="334"/>
      <c r="C375" s="725">
        <f>IF(D364="","-",+C374+1)</f>
        <v>2019</v>
      </c>
      <c r="D375" s="676">
        <f t="shared" si="23"/>
        <v>2255848.3050847463</v>
      </c>
      <c r="E375" s="732">
        <f t="shared" si="21"/>
        <v>41015.423728813563</v>
      </c>
      <c r="F375" s="676">
        <f t="shared" si="22"/>
        <v>2214832.8813559329</v>
      </c>
      <c r="G375" s="1277">
        <f t="shared" si="18"/>
        <v>282222.93411550636</v>
      </c>
      <c r="H375" s="1280">
        <f t="shared" si="19"/>
        <v>282222.93411550636</v>
      </c>
      <c r="I375" s="729">
        <f t="shared" si="20"/>
        <v>0</v>
      </c>
      <c r="J375" s="729"/>
      <c r="K375" s="881"/>
      <c r="L375" s="735"/>
      <c r="M375" s="881"/>
      <c r="N375" s="735"/>
      <c r="O375" s="735"/>
    </row>
    <row r="376" spans="2:15">
      <c r="B376" s="334"/>
      <c r="C376" s="725">
        <f>IF(D364="","-",+C375+1)</f>
        <v>2020</v>
      </c>
      <c r="D376" s="676">
        <f t="shared" si="23"/>
        <v>2214832.8813559329</v>
      </c>
      <c r="E376" s="732">
        <f t="shared" si="21"/>
        <v>41015.423728813563</v>
      </c>
      <c r="F376" s="676">
        <f t="shared" si="22"/>
        <v>2173817.4576271195</v>
      </c>
      <c r="G376" s="1277">
        <f t="shared" si="18"/>
        <v>277797.10823685152</v>
      </c>
      <c r="H376" s="1280">
        <f t="shared" si="19"/>
        <v>277797.10823685152</v>
      </c>
      <c r="I376" s="729">
        <f t="shared" si="20"/>
        <v>0</v>
      </c>
      <c r="J376" s="729"/>
      <c r="K376" s="881"/>
      <c r="L376" s="735"/>
      <c r="M376" s="881"/>
      <c r="N376" s="735"/>
      <c r="O376" s="735"/>
    </row>
    <row r="377" spans="2:15">
      <c r="B377" s="334"/>
      <c r="C377" s="725">
        <f>IF(D364="","-",+C376+1)</f>
        <v>2021</v>
      </c>
      <c r="D377" s="676">
        <f t="shared" si="23"/>
        <v>2173817.4576271195</v>
      </c>
      <c r="E377" s="732">
        <f t="shared" si="21"/>
        <v>41015.423728813563</v>
      </c>
      <c r="F377" s="676">
        <f t="shared" si="22"/>
        <v>2132802.0338983061</v>
      </c>
      <c r="G377" s="1277">
        <f t="shared" si="18"/>
        <v>273371.28235819656</v>
      </c>
      <c r="H377" s="1280">
        <f t="shared" si="19"/>
        <v>273371.28235819656</v>
      </c>
      <c r="I377" s="729">
        <f t="shared" si="20"/>
        <v>0</v>
      </c>
      <c r="J377" s="729"/>
      <c r="K377" s="881"/>
      <c r="L377" s="735"/>
      <c r="M377" s="881"/>
      <c r="N377" s="735"/>
      <c r="O377" s="735"/>
    </row>
    <row r="378" spans="2:15">
      <c r="B378" s="334"/>
      <c r="C378" s="725">
        <f>IF(D364="","-",+C377+1)</f>
        <v>2022</v>
      </c>
      <c r="D378" s="676">
        <f t="shared" si="23"/>
        <v>2132802.0338983061</v>
      </c>
      <c r="E378" s="732">
        <f t="shared" si="21"/>
        <v>41015.423728813563</v>
      </c>
      <c r="F378" s="676">
        <f t="shared" si="22"/>
        <v>2091786.6101694924</v>
      </c>
      <c r="G378" s="1277">
        <f t="shared" si="18"/>
        <v>268945.45647954172</v>
      </c>
      <c r="H378" s="1280">
        <f t="shared" si="19"/>
        <v>268945.45647954172</v>
      </c>
      <c r="I378" s="729">
        <f t="shared" si="20"/>
        <v>0</v>
      </c>
      <c r="J378" s="729"/>
      <c r="K378" s="881"/>
      <c r="L378" s="735"/>
      <c r="M378" s="881"/>
      <c r="N378" s="735"/>
      <c r="O378" s="735"/>
    </row>
    <row r="379" spans="2:15">
      <c r="B379" s="334"/>
      <c r="C379" s="725">
        <f>IF(D364="","-",+C378+1)</f>
        <v>2023</v>
      </c>
      <c r="D379" s="676">
        <f t="shared" si="23"/>
        <v>2091786.6101694924</v>
      </c>
      <c r="E379" s="732">
        <f t="shared" si="21"/>
        <v>41015.423728813563</v>
      </c>
      <c r="F379" s="676">
        <f t="shared" si="22"/>
        <v>2050771.1864406788</v>
      </c>
      <c r="G379" s="1277">
        <f t="shared" si="18"/>
        <v>264519.63060088677</v>
      </c>
      <c r="H379" s="1280">
        <f t="shared" si="19"/>
        <v>264519.63060088677</v>
      </c>
      <c r="I379" s="729">
        <f t="shared" si="20"/>
        <v>0</v>
      </c>
      <c r="J379" s="729"/>
      <c r="K379" s="881"/>
      <c r="L379" s="735"/>
      <c r="M379" s="881"/>
      <c r="N379" s="735"/>
      <c r="O379" s="735"/>
    </row>
    <row r="380" spans="2:15">
      <c r="B380" s="334"/>
      <c r="C380" s="725">
        <f>IF(D364="","-",+C379+1)</f>
        <v>2024</v>
      </c>
      <c r="D380" s="676">
        <f t="shared" si="23"/>
        <v>2050771.1864406788</v>
      </c>
      <c r="E380" s="732">
        <f t="shared" si="21"/>
        <v>41015.423728813563</v>
      </c>
      <c r="F380" s="676">
        <f t="shared" si="22"/>
        <v>2009755.7627118651</v>
      </c>
      <c r="G380" s="1277">
        <f t="shared" si="18"/>
        <v>260093.80472223184</v>
      </c>
      <c r="H380" s="1280">
        <f t="shared" si="19"/>
        <v>260093.80472223184</v>
      </c>
      <c r="I380" s="729">
        <f t="shared" si="20"/>
        <v>0</v>
      </c>
      <c r="J380" s="729"/>
      <c r="K380" s="881"/>
      <c r="L380" s="735"/>
      <c r="M380" s="881"/>
      <c r="N380" s="735"/>
      <c r="O380" s="735"/>
    </row>
    <row r="381" spans="2:15">
      <c r="B381" s="334"/>
      <c r="C381" s="725">
        <f>IF(D364="","-",+C380+1)</f>
        <v>2025</v>
      </c>
      <c r="D381" s="676">
        <f t="shared" si="23"/>
        <v>2009755.7627118651</v>
      </c>
      <c r="E381" s="732">
        <f t="shared" si="21"/>
        <v>41015.423728813563</v>
      </c>
      <c r="F381" s="676">
        <f t="shared" si="22"/>
        <v>1968740.3389830515</v>
      </c>
      <c r="G381" s="1277">
        <f t="shared" si="18"/>
        <v>255667.97884357689</v>
      </c>
      <c r="H381" s="1280">
        <f t="shared" si="19"/>
        <v>255667.97884357689</v>
      </c>
      <c r="I381" s="729">
        <f t="shared" si="20"/>
        <v>0</v>
      </c>
      <c r="J381" s="729"/>
      <c r="K381" s="881"/>
      <c r="L381" s="735"/>
      <c r="M381" s="881"/>
      <c r="N381" s="735"/>
      <c r="O381" s="735"/>
    </row>
    <row r="382" spans="2:15">
      <c r="B382" s="334"/>
      <c r="C382" s="725">
        <f>IF(D364="","-",+C381+1)</f>
        <v>2026</v>
      </c>
      <c r="D382" s="676">
        <f t="shared" si="23"/>
        <v>1968740.3389830515</v>
      </c>
      <c r="E382" s="732">
        <f t="shared" si="21"/>
        <v>41015.423728813563</v>
      </c>
      <c r="F382" s="676">
        <f t="shared" si="22"/>
        <v>1927724.9152542378</v>
      </c>
      <c r="G382" s="1277">
        <f t="shared" si="18"/>
        <v>251242.15296492199</v>
      </c>
      <c r="H382" s="1280">
        <f t="shared" si="19"/>
        <v>251242.15296492199</v>
      </c>
      <c r="I382" s="729">
        <f t="shared" si="20"/>
        <v>0</v>
      </c>
      <c r="J382" s="729"/>
      <c r="K382" s="881"/>
      <c r="L382" s="735"/>
      <c r="M382" s="881"/>
      <c r="N382" s="736"/>
      <c r="O382" s="735"/>
    </row>
    <row r="383" spans="2:15">
      <c r="B383" s="334"/>
      <c r="C383" s="725">
        <f>IF(D364="","-",+C382+1)</f>
        <v>2027</v>
      </c>
      <c r="D383" s="676">
        <f t="shared" si="23"/>
        <v>1927724.9152542378</v>
      </c>
      <c r="E383" s="732">
        <f t="shared" si="21"/>
        <v>41015.423728813563</v>
      </c>
      <c r="F383" s="676">
        <f t="shared" si="22"/>
        <v>1886709.4915254242</v>
      </c>
      <c r="G383" s="1277">
        <f t="shared" si="18"/>
        <v>246816.32708626706</v>
      </c>
      <c r="H383" s="1280">
        <f t="shared" si="19"/>
        <v>246816.32708626706</v>
      </c>
      <c r="I383" s="729">
        <f t="shared" si="20"/>
        <v>0</v>
      </c>
      <c r="J383" s="729"/>
      <c r="K383" s="881"/>
      <c r="L383" s="735"/>
      <c r="M383" s="881"/>
      <c r="N383" s="735"/>
      <c r="O383" s="735"/>
    </row>
    <row r="384" spans="2:15">
      <c r="B384" s="334"/>
      <c r="C384" s="725">
        <f>IF(D364="","-",+C383+1)</f>
        <v>2028</v>
      </c>
      <c r="D384" s="676">
        <f t="shared" si="23"/>
        <v>1886709.4915254242</v>
      </c>
      <c r="E384" s="732">
        <f t="shared" si="21"/>
        <v>41015.423728813563</v>
      </c>
      <c r="F384" s="676">
        <f t="shared" si="22"/>
        <v>1845694.0677966105</v>
      </c>
      <c r="G384" s="1277">
        <f t="shared" si="18"/>
        <v>242390.50120761216</v>
      </c>
      <c r="H384" s="1280">
        <f t="shared" si="19"/>
        <v>242390.50120761216</v>
      </c>
      <c r="I384" s="729">
        <f t="shared" si="20"/>
        <v>0</v>
      </c>
      <c r="J384" s="729"/>
      <c r="K384" s="881"/>
      <c r="L384" s="735"/>
      <c r="M384" s="881"/>
      <c r="N384" s="735"/>
      <c r="O384" s="735"/>
    </row>
    <row r="385" spans="2:15">
      <c r="B385" s="334"/>
      <c r="C385" s="725">
        <f>IF(D364="","-",+C384+1)</f>
        <v>2029</v>
      </c>
      <c r="D385" s="676">
        <f t="shared" si="23"/>
        <v>1845694.0677966105</v>
      </c>
      <c r="E385" s="732">
        <f t="shared" si="21"/>
        <v>41015.423728813563</v>
      </c>
      <c r="F385" s="676">
        <f t="shared" si="22"/>
        <v>1804678.6440677969</v>
      </c>
      <c r="G385" s="1277">
        <f t="shared" si="18"/>
        <v>237964.67532895721</v>
      </c>
      <c r="H385" s="1280">
        <f t="shared" si="19"/>
        <v>237964.67532895721</v>
      </c>
      <c r="I385" s="729">
        <f t="shared" si="20"/>
        <v>0</v>
      </c>
      <c r="J385" s="729"/>
      <c r="K385" s="881"/>
      <c r="L385" s="735"/>
      <c r="M385" s="881"/>
      <c r="N385" s="735"/>
      <c r="O385" s="735"/>
    </row>
    <row r="386" spans="2:15">
      <c r="B386" s="334"/>
      <c r="C386" s="725">
        <f>IF(D364="","-",+C385+1)</f>
        <v>2030</v>
      </c>
      <c r="D386" s="676">
        <f t="shared" si="23"/>
        <v>1804678.6440677969</v>
      </c>
      <c r="E386" s="732">
        <f t="shared" si="21"/>
        <v>41015.423728813563</v>
      </c>
      <c r="F386" s="676">
        <f t="shared" si="22"/>
        <v>1763663.2203389832</v>
      </c>
      <c r="G386" s="1277">
        <f t="shared" si="18"/>
        <v>233538.84945030231</v>
      </c>
      <c r="H386" s="1280">
        <f t="shared" si="19"/>
        <v>233538.84945030231</v>
      </c>
      <c r="I386" s="729">
        <f t="shared" si="20"/>
        <v>0</v>
      </c>
      <c r="J386" s="729"/>
      <c r="K386" s="881"/>
      <c r="L386" s="735"/>
      <c r="M386" s="881"/>
      <c r="N386" s="735"/>
      <c r="O386" s="735"/>
    </row>
    <row r="387" spans="2:15">
      <c r="B387" s="334"/>
      <c r="C387" s="725">
        <f>IF(D364="","-",+C386+1)</f>
        <v>2031</v>
      </c>
      <c r="D387" s="676">
        <f t="shared" si="23"/>
        <v>1763663.2203389832</v>
      </c>
      <c r="E387" s="732">
        <f t="shared" si="21"/>
        <v>41015.423728813563</v>
      </c>
      <c r="F387" s="676">
        <f t="shared" si="22"/>
        <v>1722647.7966101696</v>
      </c>
      <c r="G387" s="1277">
        <f t="shared" si="18"/>
        <v>229113.02357164735</v>
      </c>
      <c r="H387" s="1280">
        <f t="shared" si="19"/>
        <v>229113.02357164735</v>
      </c>
      <c r="I387" s="729">
        <f t="shared" si="20"/>
        <v>0</v>
      </c>
      <c r="J387" s="729"/>
      <c r="K387" s="881"/>
      <c r="L387" s="735"/>
      <c r="M387" s="881"/>
      <c r="N387" s="735"/>
      <c r="O387" s="735"/>
    </row>
    <row r="388" spans="2:15">
      <c r="B388" s="334"/>
      <c r="C388" s="725">
        <f>IF(D364="","-",+C387+1)</f>
        <v>2032</v>
      </c>
      <c r="D388" s="676">
        <f t="shared" si="23"/>
        <v>1722647.7966101696</v>
      </c>
      <c r="E388" s="732">
        <f t="shared" si="21"/>
        <v>41015.423728813563</v>
      </c>
      <c r="F388" s="676">
        <f t="shared" si="22"/>
        <v>1681632.3728813559</v>
      </c>
      <c r="G388" s="1277">
        <f t="shared" si="18"/>
        <v>224687.19769299246</v>
      </c>
      <c r="H388" s="1280">
        <f t="shared" si="19"/>
        <v>224687.19769299246</v>
      </c>
      <c r="I388" s="729">
        <f t="shared" si="20"/>
        <v>0</v>
      </c>
      <c r="J388" s="729"/>
      <c r="K388" s="881"/>
      <c r="L388" s="735"/>
      <c r="M388" s="881"/>
      <c r="N388" s="735"/>
      <c r="O388" s="735"/>
    </row>
    <row r="389" spans="2:15">
      <c r="B389" s="334"/>
      <c r="C389" s="725">
        <f>IF(D364="","-",+C388+1)</f>
        <v>2033</v>
      </c>
      <c r="D389" s="676">
        <f t="shared" si="23"/>
        <v>1681632.3728813559</v>
      </c>
      <c r="E389" s="732">
        <f t="shared" si="21"/>
        <v>41015.423728813563</v>
      </c>
      <c r="F389" s="676">
        <f t="shared" si="22"/>
        <v>1640616.9491525423</v>
      </c>
      <c r="G389" s="1277">
        <f t="shared" si="18"/>
        <v>220261.3718143375</v>
      </c>
      <c r="H389" s="1280">
        <f t="shared" si="19"/>
        <v>220261.3718143375</v>
      </c>
      <c r="I389" s="729">
        <f t="shared" si="20"/>
        <v>0</v>
      </c>
      <c r="J389" s="729"/>
      <c r="K389" s="881"/>
      <c r="L389" s="735"/>
      <c r="M389" s="881"/>
      <c r="N389" s="735"/>
      <c r="O389" s="735"/>
    </row>
    <row r="390" spans="2:15">
      <c r="B390" s="334"/>
      <c r="C390" s="725">
        <f>IF(D364="","-",+C389+1)</f>
        <v>2034</v>
      </c>
      <c r="D390" s="676">
        <f t="shared" si="23"/>
        <v>1640616.9491525423</v>
      </c>
      <c r="E390" s="732">
        <f t="shared" si="21"/>
        <v>41015.423728813563</v>
      </c>
      <c r="F390" s="676">
        <f t="shared" si="22"/>
        <v>1599601.5254237286</v>
      </c>
      <c r="G390" s="1277">
        <f t="shared" si="18"/>
        <v>215835.5459356826</v>
      </c>
      <c r="H390" s="1280">
        <f t="shared" si="19"/>
        <v>215835.5459356826</v>
      </c>
      <c r="I390" s="729">
        <f t="shared" si="20"/>
        <v>0</v>
      </c>
      <c r="J390" s="729"/>
      <c r="K390" s="881"/>
      <c r="L390" s="735"/>
      <c r="M390" s="881"/>
      <c r="N390" s="735"/>
      <c r="O390" s="735"/>
    </row>
    <row r="391" spans="2:15">
      <c r="B391" s="334"/>
      <c r="C391" s="725">
        <f>IF(D364="","-",+C390+1)</f>
        <v>2035</v>
      </c>
      <c r="D391" s="676">
        <f t="shared" si="23"/>
        <v>1599601.5254237286</v>
      </c>
      <c r="E391" s="732">
        <f t="shared" si="21"/>
        <v>41015.423728813563</v>
      </c>
      <c r="F391" s="676">
        <f t="shared" si="22"/>
        <v>1558586.101694915</v>
      </c>
      <c r="G391" s="1277">
        <f t="shared" si="18"/>
        <v>211409.72005702768</v>
      </c>
      <c r="H391" s="1280">
        <f t="shared" si="19"/>
        <v>211409.72005702768</v>
      </c>
      <c r="I391" s="729">
        <f t="shared" si="20"/>
        <v>0</v>
      </c>
      <c r="J391" s="729"/>
      <c r="K391" s="881"/>
      <c r="L391" s="735"/>
      <c r="M391" s="881"/>
      <c r="N391" s="735"/>
      <c r="O391" s="735"/>
    </row>
    <row r="392" spans="2:15">
      <c r="B392" s="334"/>
      <c r="C392" s="725">
        <f>IF(D364="","-",+C391+1)</f>
        <v>2036</v>
      </c>
      <c r="D392" s="676">
        <f t="shared" si="23"/>
        <v>1558586.101694915</v>
      </c>
      <c r="E392" s="732">
        <f t="shared" si="21"/>
        <v>41015.423728813563</v>
      </c>
      <c r="F392" s="676">
        <f t="shared" si="22"/>
        <v>1517570.6779661013</v>
      </c>
      <c r="G392" s="1277">
        <f t="shared" si="18"/>
        <v>206983.89417837278</v>
      </c>
      <c r="H392" s="1280">
        <f t="shared" si="19"/>
        <v>206983.89417837278</v>
      </c>
      <c r="I392" s="729">
        <f t="shared" si="20"/>
        <v>0</v>
      </c>
      <c r="J392" s="729"/>
      <c r="K392" s="881"/>
      <c r="L392" s="735"/>
      <c r="M392" s="881"/>
      <c r="N392" s="735"/>
      <c r="O392" s="735"/>
    </row>
    <row r="393" spans="2:15">
      <c r="B393" s="334"/>
      <c r="C393" s="725">
        <f>IF(D364="","-",+C392+1)</f>
        <v>2037</v>
      </c>
      <c r="D393" s="676">
        <f t="shared" si="23"/>
        <v>1517570.6779661013</v>
      </c>
      <c r="E393" s="732">
        <f t="shared" si="21"/>
        <v>41015.423728813563</v>
      </c>
      <c r="F393" s="676">
        <f t="shared" si="22"/>
        <v>1476555.2542372877</v>
      </c>
      <c r="G393" s="1277">
        <f t="shared" si="18"/>
        <v>202558.06829971782</v>
      </c>
      <c r="H393" s="1280">
        <f t="shared" si="19"/>
        <v>202558.06829971782</v>
      </c>
      <c r="I393" s="729">
        <f t="shared" si="20"/>
        <v>0</v>
      </c>
      <c r="J393" s="729"/>
      <c r="K393" s="881"/>
      <c r="L393" s="735"/>
      <c r="M393" s="881"/>
      <c r="N393" s="735"/>
      <c r="O393" s="735"/>
    </row>
    <row r="394" spans="2:15">
      <c r="B394" s="334"/>
      <c r="C394" s="725">
        <f>IF(D364="","-",+C393+1)</f>
        <v>2038</v>
      </c>
      <c r="D394" s="676">
        <f t="shared" si="23"/>
        <v>1476555.2542372877</v>
      </c>
      <c r="E394" s="732">
        <f t="shared" si="21"/>
        <v>41015.423728813563</v>
      </c>
      <c r="F394" s="676">
        <f t="shared" si="22"/>
        <v>1435539.830508474</v>
      </c>
      <c r="G394" s="1277">
        <f t="shared" si="18"/>
        <v>198132.24242106293</v>
      </c>
      <c r="H394" s="1280">
        <f t="shared" si="19"/>
        <v>198132.24242106293</v>
      </c>
      <c r="I394" s="729">
        <f t="shared" si="20"/>
        <v>0</v>
      </c>
      <c r="J394" s="729"/>
      <c r="K394" s="881"/>
      <c r="L394" s="735"/>
      <c r="M394" s="881"/>
      <c r="N394" s="735"/>
      <c r="O394" s="735"/>
    </row>
    <row r="395" spans="2:15">
      <c r="B395" s="334"/>
      <c r="C395" s="725">
        <f>IF(D364="","-",+C394+1)</f>
        <v>2039</v>
      </c>
      <c r="D395" s="676">
        <f t="shared" si="23"/>
        <v>1435539.830508474</v>
      </c>
      <c r="E395" s="732">
        <f t="shared" si="21"/>
        <v>41015.423728813563</v>
      </c>
      <c r="F395" s="676">
        <f t="shared" si="22"/>
        <v>1394524.4067796604</v>
      </c>
      <c r="G395" s="1277">
        <f t="shared" si="18"/>
        <v>193706.41654240797</v>
      </c>
      <c r="H395" s="1280">
        <f t="shared" si="19"/>
        <v>193706.41654240797</v>
      </c>
      <c r="I395" s="729">
        <f t="shared" si="20"/>
        <v>0</v>
      </c>
      <c r="J395" s="729"/>
      <c r="K395" s="881"/>
      <c r="L395" s="735"/>
      <c r="M395" s="881"/>
      <c r="N395" s="735"/>
      <c r="O395" s="735"/>
    </row>
    <row r="396" spans="2:15">
      <c r="B396" s="334"/>
      <c r="C396" s="725">
        <f>IF(D364="","-",+C395+1)</f>
        <v>2040</v>
      </c>
      <c r="D396" s="676">
        <f t="shared" si="23"/>
        <v>1394524.4067796604</v>
      </c>
      <c r="E396" s="732">
        <f t="shared" si="21"/>
        <v>41015.423728813563</v>
      </c>
      <c r="F396" s="676">
        <f t="shared" si="22"/>
        <v>1353508.9830508467</v>
      </c>
      <c r="G396" s="1277">
        <f t="shared" si="18"/>
        <v>189280.59066375307</v>
      </c>
      <c r="H396" s="1280">
        <f t="shared" si="19"/>
        <v>189280.59066375307</v>
      </c>
      <c r="I396" s="729">
        <f t="shared" si="20"/>
        <v>0</v>
      </c>
      <c r="J396" s="729"/>
      <c r="K396" s="881"/>
      <c r="L396" s="735"/>
      <c r="M396" s="881"/>
      <c r="N396" s="735"/>
      <c r="O396" s="735"/>
    </row>
    <row r="397" spans="2:15">
      <c r="B397" s="334"/>
      <c r="C397" s="725">
        <f>IF(D364="","-",+C396+1)</f>
        <v>2041</v>
      </c>
      <c r="D397" s="676">
        <f t="shared" si="23"/>
        <v>1353508.9830508467</v>
      </c>
      <c r="E397" s="732">
        <f t="shared" si="21"/>
        <v>41015.423728813563</v>
      </c>
      <c r="F397" s="676">
        <f t="shared" si="22"/>
        <v>1312493.5593220331</v>
      </c>
      <c r="G397" s="1277">
        <f t="shared" si="18"/>
        <v>184854.76478509814</v>
      </c>
      <c r="H397" s="1280">
        <f t="shared" si="19"/>
        <v>184854.76478509814</v>
      </c>
      <c r="I397" s="729">
        <f t="shared" si="20"/>
        <v>0</v>
      </c>
      <c r="J397" s="729"/>
      <c r="K397" s="881"/>
      <c r="L397" s="735"/>
      <c r="M397" s="881"/>
      <c r="N397" s="735"/>
      <c r="O397" s="735"/>
    </row>
    <row r="398" spans="2:15">
      <c r="B398" s="334"/>
      <c r="C398" s="725">
        <f>IF(D364="","-",+C397+1)</f>
        <v>2042</v>
      </c>
      <c r="D398" s="676">
        <f t="shared" si="23"/>
        <v>1312493.5593220331</v>
      </c>
      <c r="E398" s="732">
        <f t="shared" si="21"/>
        <v>41015.423728813563</v>
      </c>
      <c r="F398" s="676">
        <f t="shared" si="22"/>
        <v>1271478.1355932194</v>
      </c>
      <c r="G398" s="1286">
        <f t="shared" si="18"/>
        <v>180428.93890644325</v>
      </c>
      <c r="H398" s="1280">
        <f t="shared" si="19"/>
        <v>180428.93890644325</v>
      </c>
      <c r="I398" s="729">
        <f t="shared" si="20"/>
        <v>0</v>
      </c>
      <c r="J398" s="729"/>
      <c r="K398" s="881"/>
      <c r="L398" s="735"/>
      <c r="M398" s="881"/>
      <c r="N398" s="735"/>
      <c r="O398" s="735"/>
    </row>
    <row r="399" spans="2:15">
      <c r="B399" s="334"/>
      <c r="C399" s="725">
        <f>IF(D364="","-",+C398+1)</f>
        <v>2043</v>
      </c>
      <c r="D399" s="676">
        <f t="shared" si="23"/>
        <v>1271478.1355932194</v>
      </c>
      <c r="E399" s="732">
        <f t="shared" si="21"/>
        <v>41015.423728813563</v>
      </c>
      <c r="F399" s="676">
        <f t="shared" si="22"/>
        <v>1230462.7118644058</v>
      </c>
      <c r="G399" s="1277">
        <f t="shared" si="18"/>
        <v>176003.11302778829</v>
      </c>
      <c r="H399" s="1280">
        <f t="shared" si="19"/>
        <v>176003.11302778829</v>
      </c>
      <c r="I399" s="729">
        <f t="shared" si="20"/>
        <v>0</v>
      </c>
      <c r="J399" s="729"/>
      <c r="K399" s="881"/>
      <c r="L399" s="735"/>
      <c r="M399" s="881"/>
      <c r="N399" s="735"/>
      <c r="O399" s="735"/>
    </row>
    <row r="400" spans="2:15">
      <c r="B400" s="334"/>
      <c r="C400" s="725">
        <f>IF(D364="","-",+C399+1)</f>
        <v>2044</v>
      </c>
      <c r="D400" s="676">
        <f t="shared" si="23"/>
        <v>1230462.7118644058</v>
      </c>
      <c r="E400" s="732">
        <f t="shared" si="21"/>
        <v>41015.423728813563</v>
      </c>
      <c r="F400" s="676">
        <f t="shared" si="22"/>
        <v>1189447.2881355921</v>
      </c>
      <c r="G400" s="1277">
        <f t="shared" si="18"/>
        <v>171577.28714913339</v>
      </c>
      <c r="H400" s="1280">
        <f t="shared" si="19"/>
        <v>171577.28714913339</v>
      </c>
      <c r="I400" s="729">
        <f t="shared" si="20"/>
        <v>0</v>
      </c>
      <c r="J400" s="729"/>
      <c r="K400" s="881"/>
      <c r="L400" s="735"/>
      <c r="M400" s="881"/>
      <c r="N400" s="735"/>
      <c r="O400" s="735"/>
    </row>
    <row r="401" spans="2:15">
      <c r="B401" s="334"/>
      <c r="C401" s="725">
        <f>IF(D364="","-",+C400+1)</f>
        <v>2045</v>
      </c>
      <c r="D401" s="676">
        <f t="shared" si="23"/>
        <v>1189447.2881355921</v>
      </c>
      <c r="E401" s="732">
        <f t="shared" si="21"/>
        <v>41015.423728813563</v>
      </c>
      <c r="F401" s="676">
        <f t="shared" si="22"/>
        <v>1148431.8644067785</v>
      </c>
      <c r="G401" s="1277">
        <f t="shared" si="18"/>
        <v>167151.46127047844</v>
      </c>
      <c r="H401" s="1280">
        <f t="shared" si="19"/>
        <v>167151.46127047844</v>
      </c>
      <c r="I401" s="729">
        <f t="shared" si="20"/>
        <v>0</v>
      </c>
      <c r="J401" s="729"/>
      <c r="K401" s="881"/>
      <c r="L401" s="735"/>
      <c r="M401" s="881"/>
      <c r="N401" s="735"/>
      <c r="O401" s="735"/>
    </row>
    <row r="402" spans="2:15">
      <c r="B402" s="334"/>
      <c r="C402" s="725">
        <f>IF(D364="","-",+C401+1)</f>
        <v>2046</v>
      </c>
      <c r="D402" s="676">
        <f t="shared" si="23"/>
        <v>1148431.8644067785</v>
      </c>
      <c r="E402" s="732">
        <f t="shared" si="21"/>
        <v>41015.423728813563</v>
      </c>
      <c r="F402" s="676">
        <f t="shared" si="22"/>
        <v>1107416.4406779648</v>
      </c>
      <c r="G402" s="1277">
        <f t="shared" si="18"/>
        <v>162725.63539182354</v>
      </c>
      <c r="H402" s="1280">
        <f t="shared" si="19"/>
        <v>162725.63539182354</v>
      </c>
      <c r="I402" s="729">
        <f t="shared" si="20"/>
        <v>0</v>
      </c>
      <c r="J402" s="729"/>
      <c r="K402" s="881"/>
      <c r="L402" s="735"/>
      <c r="M402" s="881"/>
      <c r="N402" s="735"/>
      <c r="O402" s="735"/>
    </row>
    <row r="403" spans="2:15">
      <c r="B403" s="334"/>
      <c r="C403" s="725">
        <f>IF(D364="","-",+C402+1)</f>
        <v>2047</v>
      </c>
      <c r="D403" s="676">
        <f t="shared" si="23"/>
        <v>1107416.4406779648</v>
      </c>
      <c r="E403" s="732">
        <f t="shared" si="21"/>
        <v>41015.423728813563</v>
      </c>
      <c r="F403" s="676">
        <f t="shared" si="22"/>
        <v>1066401.0169491512</v>
      </c>
      <c r="G403" s="1277">
        <f t="shared" si="18"/>
        <v>158299.80951316858</v>
      </c>
      <c r="H403" s="1280">
        <f t="shared" si="19"/>
        <v>158299.80951316858</v>
      </c>
      <c r="I403" s="729">
        <f t="shared" si="20"/>
        <v>0</v>
      </c>
      <c r="J403" s="729"/>
      <c r="K403" s="881"/>
      <c r="L403" s="735"/>
      <c r="M403" s="881"/>
      <c r="N403" s="735"/>
      <c r="O403" s="735"/>
    </row>
    <row r="404" spans="2:15">
      <c r="B404" s="334"/>
      <c r="C404" s="725">
        <f>IF(D364="","-",+C403+1)</f>
        <v>2048</v>
      </c>
      <c r="D404" s="676">
        <f t="shared" si="23"/>
        <v>1066401.0169491512</v>
      </c>
      <c r="E404" s="732">
        <f t="shared" si="21"/>
        <v>41015.423728813563</v>
      </c>
      <c r="F404" s="676">
        <f t="shared" si="22"/>
        <v>1025385.5932203376</v>
      </c>
      <c r="G404" s="1277">
        <f t="shared" si="18"/>
        <v>153873.98363451369</v>
      </c>
      <c r="H404" s="1280">
        <f t="shared" si="19"/>
        <v>153873.98363451369</v>
      </c>
      <c r="I404" s="729">
        <f t="shared" si="20"/>
        <v>0</v>
      </c>
      <c r="J404" s="729"/>
      <c r="K404" s="881"/>
      <c r="L404" s="735"/>
      <c r="M404" s="881"/>
      <c r="N404" s="735"/>
      <c r="O404" s="735"/>
    </row>
    <row r="405" spans="2:15">
      <c r="B405" s="334"/>
      <c r="C405" s="725">
        <f>IF(D364="","-",+C404+1)</f>
        <v>2049</v>
      </c>
      <c r="D405" s="676">
        <f t="shared" si="23"/>
        <v>1025385.5932203376</v>
      </c>
      <c r="E405" s="732">
        <f t="shared" si="21"/>
        <v>41015.423728813563</v>
      </c>
      <c r="F405" s="676">
        <f t="shared" si="22"/>
        <v>984370.16949152411</v>
      </c>
      <c r="G405" s="1277">
        <f t="shared" si="18"/>
        <v>149448.15775585879</v>
      </c>
      <c r="H405" s="1280">
        <f t="shared" si="19"/>
        <v>149448.15775585879</v>
      </c>
      <c r="I405" s="729">
        <f t="shared" si="20"/>
        <v>0</v>
      </c>
      <c r="J405" s="729"/>
      <c r="K405" s="881"/>
      <c r="L405" s="735"/>
      <c r="M405" s="881"/>
      <c r="N405" s="735"/>
      <c r="O405" s="735"/>
    </row>
    <row r="406" spans="2:15">
      <c r="B406" s="334"/>
      <c r="C406" s="725">
        <f>IF(D364="","-",+C405+1)</f>
        <v>2050</v>
      </c>
      <c r="D406" s="676">
        <f t="shared" si="23"/>
        <v>984370.16949152411</v>
      </c>
      <c r="E406" s="732">
        <f t="shared" si="21"/>
        <v>41015.423728813563</v>
      </c>
      <c r="F406" s="676">
        <f t="shared" si="22"/>
        <v>943354.74576271058</v>
      </c>
      <c r="G406" s="1277">
        <f t="shared" si="18"/>
        <v>145022.33187720389</v>
      </c>
      <c r="H406" s="1280">
        <f t="shared" si="19"/>
        <v>145022.33187720389</v>
      </c>
      <c r="I406" s="729">
        <f t="shared" si="20"/>
        <v>0</v>
      </c>
      <c r="J406" s="729"/>
      <c r="K406" s="881"/>
      <c r="L406" s="735"/>
      <c r="M406" s="881"/>
      <c r="N406" s="735"/>
      <c r="O406" s="735"/>
    </row>
    <row r="407" spans="2:15">
      <c r="B407" s="334"/>
      <c r="C407" s="725">
        <f>IF(D364="","-",+C406+1)</f>
        <v>2051</v>
      </c>
      <c r="D407" s="676">
        <f t="shared" si="23"/>
        <v>943354.74576271058</v>
      </c>
      <c r="E407" s="732">
        <f t="shared" si="21"/>
        <v>41015.423728813563</v>
      </c>
      <c r="F407" s="676">
        <f t="shared" si="22"/>
        <v>902339.32203389704</v>
      </c>
      <c r="G407" s="1277">
        <f t="shared" si="18"/>
        <v>140596.50599854896</v>
      </c>
      <c r="H407" s="1280">
        <f t="shared" si="19"/>
        <v>140596.50599854896</v>
      </c>
      <c r="I407" s="729">
        <f t="shared" si="20"/>
        <v>0</v>
      </c>
      <c r="J407" s="729"/>
      <c r="K407" s="881"/>
      <c r="L407" s="735"/>
      <c r="M407" s="881"/>
      <c r="N407" s="735"/>
      <c r="O407" s="735"/>
    </row>
    <row r="408" spans="2:15">
      <c r="B408" s="334"/>
      <c r="C408" s="725">
        <f>IF(D364="","-",+C407+1)</f>
        <v>2052</v>
      </c>
      <c r="D408" s="676">
        <f t="shared" si="23"/>
        <v>902339.32203389704</v>
      </c>
      <c r="E408" s="732">
        <f t="shared" si="21"/>
        <v>41015.423728813563</v>
      </c>
      <c r="F408" s="676">
        <f t="shared" si="22"/>
        <v>861323.89830508351</v>
      </c>
      <c r="G408" s="1277">
        <f t="shared" si="18"/>
        <v>136170.68011989407</v>
      </c>
      <c r="H408" s="1280">
        <f t="shared" si="19"/>
        <v>136170.68011989407</v>
      </c>
      <c r="I408" s="729">
        <f t="shared" si="20"/>
        <v>0</v>
      </c>
      <c r="J408" s="729"/>
      <c r="K408" s="881"/>
      <c r="L408" s="735"/>
      <c r="M408" s="881"/>
      <c r="N408" s="735"/>
      <c r="O408" s="735"/>
    </row>
    <row r="409" spans="2:15">
      <c r="B409" s="334"/>
      <c r="C409" s="725">
        <f>IF(D364="","-",+C408+1)</f>
        <v>2053</v>
      </c>
      <c r="D409" s="676">
        <f t="shared" si="23"/>
        <v>861323.89830508351</v>
      </c>
      <c r="E409" s="732">
        <f t="shared" si="21"/>
        <v>41015.423728813563</v>
      </c>
      <c r="F409" s="676">
        <f t="shared" si="22"/>
        <v>820308.47457626997</v>
      </c>
      <c r="G409" s="1277">
        <f t="shared" si="18"/>
        <v>131744.85424123914</v>
      </c>
      <c r="H409" s="1280">
        <f t="shared" si="19"/>
        <v>131744.85424123914</v>
      </c>
      <c r="I409" s="729">
        <f t="shared" si="20"/>
        <v>0</v>
      </c>
      <c r="J409" s="729"/>
      <c r="K409" s="881"/>
      <c r="L409" s="735"/>
      <c r="M409" s="881"/>
      <c r="N409" s="735"/>
      <c r="O409" s="735"/>
    </row>
    <row r="410" spans="2:15">
      <c r="B410" s="334"/>
      <c r="C410" s="725">
        <f>IF(D364="","-",+C409+1)</f>
        <v>2054</v>
      </c>
      <c r="D410" s="676">
        <f t="shared" si="23"/>
        <v>820308.47457626997</v>
      </c>
      <c r="E410" s="732">
        <f t="shared" si="21"/>
        <v>41015.423728813563</v>
      </c>
      <c r="F410" s="676">
        <f t="shared" si="22"/>
        <v>779293.05084745644</v>
      </c>
      <c r="G410" s="1277">
        <f t="shared" si="18"/>
        <v>127319.02836258424</v>
      </c>
      <c r="H410" s="1280">
        <f t="shared" si="19"/>
        <v>127319.02836258424</v>
      </c>
      <c r="I410" s="729">
        <f t="shared" si="20"/>
        <v>0</v>
      </c>
      <c r="J410" s="729"/>
      <c r="K410" s="881"/>
      <c r="L410" s="735"/>
      <c r="M410" s="881"/>
      <c r="N410" s="735"/>
      <c r="O410" s="735"/>
    </row>
    <row r="411" spans="2:15">
      <c r="B411" s="334"/>
      <c r="C411" s="725">
        <f>IF(D364="","-",+C410+1)</f>
        <v>2055</v>
      </c>
      <c r="D411" s="676">
        <f t="shared" si="23"/>
        <v>779293.05084745644</v>
      </c>
      <c r="E411" s="732">
        <f t="shared" si="21"/>
        <v>41015.423728813563</v>
      </c>
      <c r="F411" s="676">
        <f t="shared" si="22"/>
        <v>738277.62711864291</v>
      </c>
      <c r="G411" s="1277">
        <f t="shared" si="18"/>
        <v>122893.20248392932</v>
      </c>
      <c r="H411" s="1280">
        <f t="shared" si="19"/>
        <v>122893.20248392932</v>
      </c>
      <c r="I411" s="729">
        <f t="shared" si="20"/>
        <v>0</v>
      </c>
      <c r="J411" s="729"/>
      <c r="K411" s="881"/>
      <c r="L411" s="735"/>
      <c r="M411" s="881"/>
      <c r="N411" s="735"/>
      <c r="O411" s="735"/>
    </row>
    <row r="412" spans="2:15">
      <c r="B412" s="334"/>
      <c r="C412" s="725">
        <f>IF(D364="","-",+C411+1)</f>
        <v>2056</v>
      </c>
      <c r="D412" s="676">
        <f t="shared" si="23"/>
        <v>738277.62711864291</v>
      </c>
      <c r="E412" s="732">
        <f t="shared" si="21"/>
        <v>41015.423728813563</v>
      </c>
      <c r="F412" s="676">
        <f t="shared" si="22"/>
        <v>697262.20338982937</v>
      </c>
      <c r="G412" s="1277">
        <f t="shared" si="18"/>
        <v>118467.37660527442</v>
      </c>
      <c r="H412" s="1280">
        <f t="shared" si="19"/>
        <v>118467.37660527442</v>
      </c>
      <c r="I412" s="729">
        <f t="shared" si="20"/>
        <v>0</v>
      </c>
      <c r="J412" s="729"/>
      <c r="K412" s="881"/>
      <c r="L412" s="735"/>
      <c r="M412" s="881"/>
      <c r="N412" s="735"/>
      <c r="O412" s="735"/>
    </row>
    <row r="413" spans="2:15">
      <c r="B413" s="334"/>
      <c r="C413" s="725">
        <f>IF(D364="","-",+C412+1)</f>
        <v>2057</v>
      </c>
      <c r="D413" s="676">
        <f t="shared" si="23"/>
        <v>697262.20338982937</v>
      </c>
      <c r="E413" s="732">
        <f t="shared" si="21"/>
        <v>41015.423728813563</v>
      </c>
      <c r="F413" s="676">
        <f t="shared" si="22"/>
        <v>656246.77966101584</v>
      </c>
      <c r="G413" s="1277">
        <f t="shared" si="18"/>
        <v>114041.55072661949</v>
      </c>
      <c r="H413" s="1280">
        <f t="shared" si="19"/>
        <v>114041.55072661949</v>
      </c>
      <c r="I413" s="729">
        <f t="shared" si="20"/>
        <v>0</v>
      </c>
      <c r="J413" s="729"/>
      <c r="K413" s="881"/>
      <c r="L413" s="735"/>
      <c r="M413" s="881"/>
      <c r="N413" s="735"/>
      <c r="O413" s="735"/>
    </row>
    <row r="414" spans="2:15">
      <c r="B414" s="334"/>
      <c r="C414" s="725">
        <f>IF(D364="","-",+C413+1)</f>
        <v>2058</v>
      </c>
      <c r="D414" s="676">
        <f t="shared" si="23"/>
        <v>656246.77966101584</v>
      </c>
      <c r="E414" s="732">
        <f t="shared" si="21"/>
        <v>41015.423728813563</v>
      </c>
      <c r="F414" s="676">
        <f t="shared" si="22"/>
        <v>615231.35593220231</v>
      </c>
      <c r="G414" s="1277">
        <f t="shared" si="18"/>
        <v>109615.72484796459</v>
      </c>
      <c r="H414" s="1280">
        <f t="shared" si="19"/>
        <v>109615.72484796459</v>
      </c>
      <c r="I414" s="729">
        <f t="shared" si="20"/>
        <v>0</v>
      </c>
      <c r="J414" s="729"/>
      <c r="K414" s="881"/>
      <c r="L414" s="735"/>
      <c r="M414" s="881"/>
      <c r="N414" s="735"/>
      <c r="O414" s="735"/>
    </row>
    <row r="415" spans="2:15">
      <c r="B415" s="334"/>
      <c r="C415" s="725">
        <f>IF(D364="","-",+C414+1)</f>
        <v>2059</v>
      </c>
      <c r="D415" s="676">
        <f t="shared" si="23"/>
        <v>615231.35593220231</v>
      </c>
      <c r="E415" s="732">
        <f t="shared" si="21"/>
        <v>41015.423728813563</v>
      </c>
      <c r="F415" s="676">
        <f t="shared" si="22"/>
        <v>574215.93220338877</v>
      </c>
      <c r="G415" s="1277">
        <f t="shared" si="18"/>
        <v>105189.89896930967</v>
      </c>
      <c r="H415" s="1280">
        <f t="shared" si="19"/>
        <v>105189.89896930967</v>
      </c>
      <c r="I415" s="729">
        <f t="shared" si="20"/>
        <v>0</v>
      </c>
      <c r="J415" s="729"/>
      <c r="K415" s="881"/>
      <c r="L415" s="735"/>
      <c r="M415" s="881"/>
      <c r="N415" s="735"/>
      <c r="O415" s="735"/>
    </row>
    <row r="416" spans="2:15">
      <c r="B416" s="334"/>
      <c r="C416" s="725">
        <f>IF(D364="","-",+C415+1)</f>
        <v>2060</v>
      </c>
      <c r="D416" s="676">
        <f t="shared" si="23"/>
        <v>574215.93220338877</v>
      </c>
      <c r="E416" s="732">
        <f t="shared" si="21"/>
        <v>41015.423728813563</v>
      </c>
      <c r="F416" s="676">
        <f t="shared" si="22"/>
        <v>533200.50847457524</v>
      </c>
      <c r="G416" s="1277">
        <f t="shared" si="18"/>
        <v>100764.07309065477</v>
      </c>
      <c r="H416" s="1280">
        <f t="shared" si="19"/>
        <v>100764.07309065477</v>
      </c>
      <c r="I416" s="729">
        <f t="shared" si="20"/>
        <v>0</v>
      </c>
      <c r="J416" s="729"/>
      <c r="K416" s="881"/>
      <c r="L416" s="735"/>
      <c r="M416" s="881"/>
      <c r="N416" s="735"/>
      <c r="O416" s="735"/>
    </row>
    <row r="417" spans="2:15">
      <c r="B417" s="334"/>
      <c r="C417" s="725">
        <f>IF(D364="","-",+C416+1)</f>
        <v>2061</v>
      </c>
      <c r="D417" s="676">
        <f t="shared" si="23"/>
        <v>533200.50847457524</v>
      </c>
      <c r="E417" s="732">
        <f t="shared" si="21"/>
        <v>41015.423728813563</v>
      </c>
      <c r="F417" s="676">
        <f t="shared" si="22"/>
        <v>492185.08474576171</v>
      </c>
      <c r="G417" s="1277">
        <f t="shared" si="18"/>
        <v>96338.247211999871</v>
      </c>
      <c r="H417" s="1280">
        <f t="shared" si="19"/>
        <v>96338.247211999871</v>
      </c>
      <c r="I417" s="729">
        <f t="shared" si="20"/>
        <v>0</v>
      </c>
      <c r="J417" s="729"/>
      <c r="K417" s="881"/>
      <c r="L417" s="735"/>
      <c r="M417" s="881"/>
      <c r="N417" s="735"/>
      <c r="O417" s="735"/>
    </row>
    <row r="418" spans="2:15">
      <c r="B418" s="334"/>
      <c r="C418" s="725">
        <f>IF(D364="","-",+C417+1)</f>
        <v>2062</v>
      </c>
      <c r="D418" s="676">
        <f t="shared" si="23"/>
        <v>492185.08474576171</v>
      </c>
      <c r="E418" s="732">
        <f t="shared" si="21"/>
        <v>41015.423728813563</v>
      </c>
      <c r="F418" s="676">
        <f t="shared" si="22"/>
        <v>451169.66101694817</v>
      </c>
      <c r="G418" s="1277">
        <f t="shared" si="18"/>
        <v>91912.421333344944</v>
      </c>
      <c r="H418" s="1280">
        <f t="shared" si="19"/>
        <v>91912.421333344944</v>
      </c>
      <c r="I418" s="729">
        <f t="shared" si="20"/>
        <v>0</v>
      </c>
      <c r="J418" s="729"/>
      <c r="K418" s="881"/>
      <c r="L418" s="735"/>
      <c r="M418" s="881"/>
      <c r="N418" s="735"/>
      <c r="O418" s="735"/>
    </row>
    <row r="419" spans="2:15">
      <c r="B419" s="334"/>
      <c r="C419" s="725">
        <f>IF(D364="","-",+C418+1)</f>
        <v>2063</v>
      </c>
      <c r="D419" s="676">
        <f t="shared" si="23"/>
        <v>451169.66101694817</v>
      </c>
      <c r="E419" s="732">
        <f t="shared" si="21"/>
        <v>41015.423728813563</v>
      </c>
      <c r="F419" s="676">
        <f t="shared" si="22"/>
        <v>410154.23728813464</v>
      </c>
      <c r="G419" s="1277">
        <f t="shared" si="18"/>
        <v>87486.595454690047</v>
      </c>
      <c r="H419" s="1280">
        <f t="shared" si="19"/>
        <v>87486.595454690047</v>
      </c>
      <c r="I419" s="729">
        <f t="shared" si="20"/>
        <v>0</v>
      </c>
      <c r="J419" s="729"/>
      <c r="K419" s="881"/>
      <c r="L419" s="735"/>
      <c r="M419" s="881"/>
      <c r="N419" s="735"/>
      <c r="O419" s="735"/>
    </row>
    <row r="420" spans="2:15">
      <c r="B420" s="334"/>
      <c r="C420" s="725">
        <f>IF(D364="","-",+C419+1)</f>
        <v>2064</v>
      </c>
      <c r="D420" s="676">
        <f t="shared" si="23"/>
        <v>410154.23728813464</v>
      </c>
      <c r="E420" s="732">
        <f t="shared" si="21"/>
        <v>41015.423728813563</v>
      </c>
      <c r="F420" s="676">
        <f t="shared" si="22"/>
        <v>369138.8135593211</v>
      </c>
      <c r="G420" s="1277">
        <f t="shared" si="18"/>
        <v>83060.769576035134</v>
      </c>
      <c r="H420" s="1280">
        <f t="shared" si="19"/>
        <v>83060.769576035134</v>
      </c>
      <c r="I420" s="729">
        <f t="shared" si="20"/>
        <v>0</v>
      </c>
      <c r="J420" s="729"/>
      <c r="K420" s="881"/>
      <c r="L420" s="735"/>
      <c r="M420" s="881"/>
      <c r="N420" s="735"/>
      <c r="O420" s="735"/>
    </row>
    <row r="421" spans="2:15">
      <c r="B421" s="334"/>
      <c r="C421" s="725">
        <f>IF(D364="","-",+C420+1)</f>
        <v>2065</v>
      </c>
      <c r="D421" s="676">
        <f t="shared" si="23"/>
        <v>369138.8135593211</v>
      </c>
      <c r="E421" s="732">
        <f t="shared" si="21"/>
        <v>41015.423728813563</v>
      </c>
      <c r="F421" s="676">
        <f t="shared" si="22"/>
        <v>328123.38983050757</v>
      </c>
      <c r="G421" s="1277">
        <f t="shared" si="18"/>
        <v>78634.943697380222</v>
      </c>
      <c r="H421" s="1280">
        <f t="shared" si="19"/>
        <v>78634.943697380222</v>
      </c>
      <c r="I421" s="729">
        <f t="shared" si="20"/>
        <v>0</v>
      </c>
      <c r="J421" s="729"/>
      <c r="K421" s="881"/>
      <c r="L421" s="735"/>
      <c r="M421" s="881"/>
      <c r="N421" s="735"/>
      <c r="O421" s="735"/>
    </row>
    <row r="422" spans="2:15">
      <c r="B422" s="334"/>
      <c r="C422" s="725">
        <f>IF(D364="","-",+C421+1)</f>
        <v>2066</v>
      </c>
      <c r="D422" s="676">
        <f t="shared" si="23"/>
        <v>328123.38983050757</v>
      </c>
      <c r="E422" s="732">
        <f t="shared" si="21"/>
        <v>41015.423728813563</v>
      </c>
      <c r="F422" s="676">
        <f t="shared" si="22"/>
        <v>287107.96610169404</v>
      </c>
      <c r="G422" s="1277">
        <f t="shared" si="18"/>
        <v>74209.11781872531</v>
      </c>
      <c r="H422" s="1280">
        <f t="shared" si="19"/>
        <v>74209.11781872531</v>
      </c>
      <c r="I422" s="729">
        <f t="shared" si="20"/>
        <v>0</v>
      </c>
      <c r="J422" s="729"/>
      <c r="K422" s="881"/>
      <c r="L422" s="735"/>
      <c r="M422" s="881"/>
      <c r="N422" s="735"/>
      <c r="O422" s="735"/>
    </row>
    <row r="423" spans="2:15">
      <c r="B423" s="334"/>
      <c r="C423" s="725">
        <f>IF(D364="","-",+C422+1)</f>
        <v>2067</v>
      </c>
      <c r="D423" s="676">
        <f t="shared" si="23"/>
        <v>287107.96610169404</v>
      </c>
      <c r="E423" s="732">
        <f t="shared" si="21"/>
        <v>41015.423728813563</v>
      </c>
      <c r="F423" s="676">
        <f t="shared" si="22"/>
        <v>246092.54237288047</v>
      </c>
      <c r="G423" s="1277">
        <f t="shared" si="18"/>
        <v>69783.291940070398</v>
      </c>
      <c r="H423" s="1280">
        <f t="shared" si="19"/>
        <v>69783.291940070398</v>
      </c>
      <c r="I423" s="729">
        <f t="shared" si="20"/>
        <v>0</v>
      </c>
      <c r="J423" s="729"/>
      <c r="K423" s="881"/>
      <c r="L423" s="735"/>
      <c r="M423" s="881"/>
      <c r="N423" s="735"/>
      <c r="O423" s="735"/>
    </row>
    <row r="424" spans="2:15">
      <c r="B424" s="334"/>
      <c r="C424" s="725">
        <f>IF(D364="","-",+C423+1)</f>
        <v>2068</v>
      </c>
      <c r="D424" s="676">
        <f t="shared" si="23"/>
        <v>246092.54237288047</v>
      </c>
      <c r="E424" s="732">
        <f t="shared" si="21"/>
        <v>41015.423728813563</v>
      </c>
      <c r="F424" s="676">
        <f t="shared" si="22"/>
        <v>205077.11864406691</v>
      </c>
      <c r="G424" s="1277">
        <f t="shared" si="18"/>
        <v>65357.466061415485</v>
      </c>
      <c r="H424" s="1280">
        <f t="shared" si="19"/>
        <v>65357.466061415485</v>
      </c>
      <c r="I424" s="729">
        <f t="shared" si="20"/>
        <v>0</v>
      </c>
      <c r="J424" s="729"/>
      <c r="K424" s="881"/>
      <c r="L424" s="735"/>
      <c r="M424" s="881"/>
      <c r="N424" s="735"/>
      <c r="O424" s="735"/>
    </row>
    <row r="425" spans="2:15">
      <c r="B425" s="334"/>
      <c r="C425" s="725">
        <f>IF(D364="","-",+C424+1)</f>
        <v>2069</v>
      </c>
      <c r="D425" s="676">
        <f t="shared" si="23"/>
        <v>205077.11864406691</v>
      </c>
      <c r="E425" s="732">
        <f t="shared" si="21"/>
        <v>41015.423728813563</v>
      </c>
      <c r="F425" s="676">
        <f t="shared" si="22"/>
        <v>164061.69491525335</v>
      </c>
      <c r="G425" s="1277">
        <f t="shared" si="18"/>
        <v>60931.640182760573</v>
      </c>
      <c r="H425" s="1280">
        <f t="shared" si="19"/>
        <v>60931.640182760573</v>
      </c>
      <c r="I425" s="729">
        <f t="shared" si="20"/>
        <v>0</v>
      </c>
      <c r="J425" s="729"/>
      <c r="K425" s="881"/>
      <c r="L425" s="735"/>
      <c r="M425" s="881"/>
      <c r="N425" s="735"/>
      <c r="O425" s="735"/>
    </row>
    <row r="426" spans="2:15">
      <c r="B426" s="334"/>
      <c r="C426" s="725">
        <f>IF(D364="","-",+C425+1)</f>
        <v>2070</v>
      </c>
      <c r="D426" s="676">
        <f t="shared" si="23"/>
        <v>164061.69491525335</v>
      </c>
      <c r="E426" s="732">
        <f t="shared" si="21"/>
        <v>41015.423728813563</v>
      </c>
      <c r="F426" s="676">
        <f t="shared" si="22"/>
        <v>123046.27118643979</v>
      </c>
      <c r="G426" s="1277">
        <f t="shared" si="18"/>
        <v>56505.814304105661</v>
      </c>
      <c r="H426" s="1280">
        <f t="shared" si="19"/>
        <v>56505.814304105661</v>
      </c>
      <c r="I426" s="729">
        <f t="shared" si="20"/>
        <v>0</v>
      </c>
      <c r="J426" s="729"/>
      <c r="K426" s="881"/>
      <c r="L426" s="735"/>
      <c r="M426" s="881"/>
      <c r="N426" s="735"/>
      <c r="O426" s="735"/>
    </row>
    <row r="427" spans="2:15">
      <c r="B427" s="334"/>
      <c r="C427" s="725">
        <f>IF(D364="","-",+C426+1)</f>
        <v>2071</v>
      </c>
      <c r="D427" s="676">
        <f t="shared" si="23"/>
        <v>123046.27118643979</v>
      </c>
      <c r="E427" s="732">
        <f t="shared" si="21"/>
        <v>41015.423728813563</v>
      </c>
      <c r="F427" s="676">
        <f t="shared" si="22"/>
        <v>82030.847457626223</v>
      </c>
      <c r="G427" s="1277">
        <f t="shared" si="18"/>
        <v>52079.988425450749</v>
      </c>
      <c r="H427" s="1280">
        <f t="shared" si="19"/>
        <v>52079.988425450749</v>
      </c>
      <c r="I427" s="729">
        <f t="shared" si="20"/>
        <v>0</v>
      </c>
      <c r="J427" s="729"/>
      <c r="K427" s="881"/>
      <c r="L427" s="735"/>
      <c r="M427" s="881"/>
      <c r="N427" s="735"/>
      <c r="O427" s="735"/>
    </row>
    <row r="428" spans="2:15">
      <c r="B428" s="334"/>
      <c r="C428" s="725">
        <f>IF(D364="","-",+C427+1)</f>
        <v>2072</v>
      </c>
      <c r="D428" s="676">
        <f t="shared" si="23"/>
        <v>82030.847457626223</v>
      </c>
      <c r="E428" s="732">
        <f t="shared" si="21"/>
        <v>41015.423728813563</v>
      </c>
      <c r="F428" s="676">
        <f t="shared" si="22"/>
        <v>41015.423728812661</v>
      </c>
      <c r="G428" s="1277">
        <f t="shared" si="18"/>
        <v>47654.162546795837</v>
      </c>
      <c r="H428" s="1280">
        <f t="shared" si="19"/>
        <v>47654.162546795837</v>
      </c>
      <c r="I428" s="729">
        <f t="shared" si="20"/>
        <v>0</v>
      </c>
      <c r="J428" s="729"/>
      <c r="K428" s="881"/>
      <c r="L428" s="735"/>
      <c r="M428" s="881"/>
      <c r="N428" s="735"/>
      <c r="O428" s="735"/>
    </row>
    <row r="429" spans="2:15" ht="13.5" thickBot="1">
      <c r="B429" s="334"/>
      <c r="C429" s="737">
        <f>IF(D364="","-",+C428+1)</f>
        <v>2073</v>
      </c>
      <c r="D429" s="738">
        <f t="shared" si="23"/>
        <v>41015.423728812661</v>
      </c>
      <c r="E429" s="739">
        <f t="shared" si="21"/>
        <v>41015.423728812661</v>
      </c>
      <c r="F429" s="738">
        <f t="shared" si="22"/>
        <v>0</v>
      </c>
      <c r="G429" s="1287">
        <f t="shared" si="18"/>
        <v>43228.336668140066</v>
      </c>
      <c r="H429" s="1287">
        <f t="shared" si="19"/>
        <v>43228.336668140066</v>
      </c>
      <c r="I429" s="741">
        <f t="shared" si="20"/>
        <v>0</v>
      </c>
      <c r="J429" s="729"/>
      <c r="K429" s="882"/>
      <c r="L429" s="743"/>
      <c r="M429" s="882"/>
      <c r="N429" s="743"/>
      <c r="O429" s="743"/>
    </row>
    <row r="430" spans="2:15">
      <c r="B430" s="334"/>
      <c r="C430" s="676" t="s">
        <v>289</v>
      </c>
      <c r="D430" s="1258"/>
      <c r="E430" s="1258">
        <f>SUM(E370:E429)</f>
        <v>2419910</v>
      </c>
      <c r="F430" s="1258"/>
      <c r="G430" s="1258">
        <f>SUM(G370:G429)</f>
        <v>10384183.668639513</v>
      </c>
      <c r="H430" s="1258">
        <f>SUM(H370:H429)</f>
        <v>10384183.668639513</v>
      </c>
      <c r="I430" s="1258">
        <f>SUM(I370:I429)</f>
        <v>0</v>
      </c>
      <c r="J430" s="1258"/>
      <c r="K430" s="1258"/>
      <c r="L430" s="1258"/>
      <c r="M430" s="1258"/>
      <c r="N430" s="1258"/>
      <c r="O430" s="543"/>
    </row>
    <row r="431" spans="2:15">
      <c r="B431" s="334"/>
      <c r="D431" s="566"/>
      <c r="E431" s="543"/>
      <c r="F431" s="543"/>
      <c r="G431" s="543"/>
      <c r="H431" s="1257"/>
      <c r="I431" s="1257"/>
      <c r="J431" s="1258"/>
      <c r="K431" s="1257"/>
      <c r="L431" s="1257"/>
      <c r="M431" s="1257"/>
      <c r="N431" s="1257"/>
      <c r="O431" s="543"/>
    </row>
    <row r="432" spans="2:15">
      <c r="B432" s="334"/>
      <c r="C432" s="543" t="s">
        <v>602</v>
      </c>
      <c r="D432" s="566"/>
      <c r="E432" s="543"/>
      <c r="F432" s="543"/>
      <c r="G432" s="543"/>
      <c r="H432" s="1257"/>
      <c r="I432" s="1257"/>
      <c r="J432" s="1258"/>
      <c r="K432" s="1257"/>
      <c r="L432" s="1257"/>
      <c r="M432" s="1257"/>
      <c r="N432" s="1257"/>
      <c r="O432" s="543"/>
    </row>
    <row r="433" spans="1:16">
      <c r="B433" s="334"/>
      <c r="D433" s="566"/>
      <c r="E433" s="543"/>
      <c r="F433" s="543"/>
      <c r="G433" s="543"/>
      <c r="H433" s="1257"/>
      <c r="I433" s="1257"/>
      <c r="J433" s="1258"/>
      <c r="K433" s="1257"/>
      <c r="L433" s="1257"/>
      <c r="M433" s="1257"/>
      <c r="N433" s="1257"/>
      <c r="O433" s="543"/>
    </row>
    <row r="434" spans="1:16">
      <c r="B434" s="334"/>
      <c r="C434" s="579" t="s">
        <v>603</v>
      </c>
      <c r="D434" s="676"/>
      <c r="E434" s="676"/>
      <c r="F434" s="676"/>
      <c r="G434" s="1258"/>
      <c r="H434" s="1258"/>
      <c r="I434" s="677"/>
      <c r="J434" s="677"/>
      <c r="K434" s="677"/>
      <c r="L434" s="677"/>
      <c r="M434" s="677"/>
      <c r="N434" s="677"/>
      <c r="O434" s="543"/>
    </row>
    <row r="435" spans="1:16">
      <c r="B435" s="334"/>
      <c r="C435" s="579" t="s">
        <v>477</v>
      </c>
      <c r="D435" s="676"/>
      <c r="E435" s="676"/>
      <c r="F435" s="676"/>
      <c r="G435" s="1258"/>
      <c r="H435" s="1258"/>
      <c r="I435" s="677"/>
      <c r="J435" s="677"/>
      <c r="K435" s="677"/>
      <c r="L435" s="677"/>
      <c r="M435" s="677"/>
      <c r="N435" s="677"/>
      <c r="O435" s="543"/>
    </row>
    <row r="436" spans="1:16">
      <c r="B436" s="334"/>
      <c r="C436" s="579" t="s">
        <v>290</v>
      </c>
      <c r="D436" s="676"/>
      <c r="E436" s="676"/>
      <c r="F436" s="676"/>
      <c r="G436" s="1258"/>
      <c r="H436" s="1258"/>
      <c r="I436" s="677"/>
      <c r="J436" s="677"/>
      <c r="K436" s="677"/>
      <c r="L436" s="677"/>
      <c r="M436" s="677"/>
      <c r="N436" s="677"/>
      <c r="O436" s="543"/>
    </row>
    <row r="437" spans="1:16">
      <c r="B437" s="334"/>
      <c r="C437" s="675"/>
      <c r="D437" s="676"/>
      <c r="E437" s="676"/>
      <c r="F437" s="676"/>
      <c r="G437" s="1258"/>
      <c r="H437" s="1258"/>
      <c r="I437" s="677"/>
      <c r="J437" s="677"/>
      <c r="K437" s="677"/>
      <c r="L437" s="677"/>
      <c r="M437" s="677"/>
      <c r="N437" s="677"/>
      <c r="O437" s="543"/>
    </row>
    <row r="438" spans="1:16">
      <c r="B438" s="334"/>
      <c r="C438" s="1436" t="s">
        <v>461</v>
      </c>
      <c r="D438" s="1436"/>
      <c r="E438" s="1436"/>
      <c r="F438" s="1436"/>
      <c r="G438" s="1436"/>
      <c r="H438" s="1436"/>
      <c r="I438" s="1436"/>
      <c r="J438" s="1436"/>
      <c r="K438" s="1436"/>
      <c r="L438" s="1436"/>
      <c r="M438" s="1436"/>
      <c r="N438" s="1436"/>
      <c r="O438" s="1436"/>
    </row>
    <row r="439" spans="1:16">
      <c r="B439" s="334"/>
      <c r="C439" s="1436"/>
      <c r="D439" s="1436"/>
      <c r="E439" s="1436"/>
      <c r="F439" s="1436"/>
      <c r="G439" s="1436"/>
      <c r="H439" s="1436"/>
      <c r="I439" s="1436"/>
      <c r="J439" s="1436"/>
      <c r="K439" s="1436"/>
      <c r="L439" s="1436"/>
      <c r="M439" s="1436"/>
      <c r="N439" s="1436"/>
      <c r="O439" s="1436"/>
    </row>
    <row r="440" spans="1:16" ht="20.25">
      <c r="A440" s="678" t="s">
        <v>993</v>
      </c>
      <c r="B440" s="543"/>
      <c r="C440" s="658"/>
      <c r="D440" s="566"/>
      <c r="E440" s="543"/>
      <c r="F440" s="648"/>
      <c r="G440" s="543"/>
      <c r="H440" s="1257"/>
      <c r="K440" s="679"/>
      <c r="L440" s="679"/>
      <c r="M440" s="679"/>
      <c r="N440" s="594" t="str">
        <f>"Page "&amp;SUM(P$6:P440)&amp;" of "</f>
        <v xml:space="preserve">Page 6 of </v>
      </c>
      <c r="O440" s="595">
        <f>COUNT(P$6:P$59606)</f>
        <v>14</v>
      </c>
      <c r="P440" s="543">
        <v>1</v>
      </c>
    </row>
    <row r="441" spans="1:16">
      <c r="B441" s="543"/>
      <c r="C441" s="543"/>
      <c r="D441" s="566"/>
      <c r="E441" s="543"/>
      <c r="F441" s="543"/>
      <c r="G441" s="543"/>
      <c r="H441" s="1257"/>
      <c r="I441" s="543"/>
      <c r="J441" s="591"/>
      <c r="K441" s="543"/>
      <c r="L441" s="543"/>
      <c r="M441" s="543"/>
      <c r="N441" s="543"/>
      <c r="O441" s="543"/>
    </row>
    <row r="442" spans="1:16" ht="18">
      <c r="B442" s="598" t="s">
        <v>175</v>
      </c>
      <c r="C442" s="680" t="s">
        <v>291</v>
      </c>
      <c r="D442" s="566"/>
      <c r="E442" s="543"/>
      <c r="F442" s="543"/>
      <c r="G442" s="543"/>
      <c r="H442" s="1257"/>
      <c r="I442" s="1257"/>
      <c r="J442" s="1258"/>
      <c r="K442" s="1257"/>
      <c r="L442" s="1257"/>
      <c r="M442" s="1257"/>
      <c r="N442" s="1257"/>
      <c r="O442" s="543"/>
    </row>
    <row r="443" spans="1:16" ht="18.75">
      <c r="B443" s="598"/>
      <c r="C443" s="597"/>
      <c r="D443" s="566"/>
      <c r="E443" s="543"/>
      <c r="F443" s="543"/>
      <c r="G443" s="543"/>
      <c r="H443" s="1257"/>
      <c r="I443" s="1257"/>
      <c r="J443" s="1258"/>
      <c r="K443" s="1257"/>
      <c r="L443" s="1257"/>
      <c r="M443" s="1257"/>
      <c r="N443" s="1257"/>
      <c r="O443" s="543"/>
    </row>
    <row r="444" spans="1:16" ht="18.75">
      <c r="B444" s="598"/>
      <c r="C444" s="597" t="s">
        <v>292</v>
      </c>
      <c r="D444" s="566"/>
      <c r="E444" s="543"/>
      <c r="F444" s="543"/>
      <c r="G444" s="543"/>
      <c r="H444" s="1257"/>
      <c r="I444" s="1257"/>
      <c r="J444" s="1258"/>
      <c r="K444" s="1257"/>
      <c r="L444" s="1257"/>
      <c r="M444" s="1257"/>
      <c r="N444" s="1257"/>
      <c r="O444" s="543"/>
    </row>
    <row r="445" spans="1:16" ht="15.75" thickBot="1">
      <c r="B445" s="334"/>
      <c r="C445" s="400"/>
      <c r="D445" s="566"/>
      <c r="E445" s="543"/>
      <c r="F445" s="543"/>
      <c r="G445" s="543"/>
      <c r="H445" s="1257"/>
      <c r="I445" s="1257"/>
      <c r="J445" s="1258"/>
      <c r="K445" s="1257"/>
      <c r="L445" s="1257"/>
      <c r="M445" s="1257"/>
      <c r="N445" s="1257"/>
      <c r="O445" s="543"/>
    </row>
    <row r="446" spans="1:16" ht="15.75">
      <c r="B446" s="334"/>
      <c r="C446" s="599" t="s">
        <v>293</v>
      </c>
      <c r="D446" s="566"/>
      <c r="E446" s="543"/>
      <c r="F446" s="543"/>
      <c r="G446" s="1259"/>
      <c r="H446" s="543" t="s">
        <v>272</v>
      </c>
      <c r="I446" s="543"/>
      <c r="J446" s="591"/>
      <c r="K446" s="681" t="s">
        <v>297</v>
      </c>
      <c r="L446" s="682"/>
      <c r="M446" s="683"/>
      <c r="N446" s="1260">
        <f>VLOOKUP(I452,C459:O518,5)</f>
        <v>1807819.6056312965</v>
      </c>
      <c r="O446" s="543"/>
    </row>
    <row r="447" spans="1:16" ht="15.75">
      <c r="B447" s="334"/>
      <c r="C447" s="599"/>
      <c r="D447" s="566"/>
      <c r="E447" s="543"/>
      <c r="F447" s="543"/>
      <c r="G447" s="543"/>
      <c r="H447" s="1261"/>
      <c r="I447" s="1261"/>
      <c r="J447" s="1262"/>
      <c r="K447" s="686" t="s">
        <v>298</v>
      </c>
      <c r="L447" s="1263"/>
      <c r="M447" s="591"/>
      <c r="N447" s="1264">
        <f>VLOOKUP(I452,C459:O518,6)</f>
        <v>1807819.6056312965</v>
      </c>
      <c r="O447" s="543"/>
    </row>
    <row r="448" spans="1:16" ht="13.5" thickBot="1">
      <c r="B448" s="334"/>
      <c r="C448" s="687" t="s">
        <v>294</v>
      </c>
      <c r="D448" s="1434" t="s">
        <v>999</v>
      </c>
      <c r="E448" s="1434"/>
      <c r="F448" s="1434"/>
      <c r="G448" s="1434"/>
      <c r="H448" s="1434"/>
      <c r="I448" s="1257"/>
      <c r="J448" s="1258"/>
      <c r="K448" s="1265" t="s">
        <v>451</v>
      </c>
      <c r="L448" s="1266"/>
      <c r="M448" s="1266"/>
      <c r="N448" s="1267">
        <f>+N447-N446</f>
        <v>0</v>
      </c>
      <c r="O448" s="543"/>
    </row>
    <row r="449" spans="1:15">
      <c r="B449" s="334"/>
      <c r="C449" s="689"/>
      <c r="D449" s="690"/>
      <c r="E449" s="674"/>
      <c r="F449" s="674"/>
      <c r="G449" s="691"/>
      <c r="H449" s="1257"/>
      <c r="I449" s="1257"/>
      <c r="J449" s="1258"/>
      <c r="K449" s="1257"/>
      <c r="L449" s="1257"/>
      <c r="M449" s="1257"/>
      <c r="N449" s="1257"/>
      <c r="O449" s="543"/>
    </row>
    <row r="450" spans="1:15" ht="13.5" thickBot="1">
      <c r="B450" s="334"/>
      <c r="C450" s="692"/>
      <c r="D450" s="693"/>
      <c r="E450" s="691"/>
      <c r="F450" s="691"/>
      <c r="G450" s="691"/>
      <c r="H450" s="691"/>
      <c r="I450" s="691"/>
      <c r="J450" s="694"/>
      <c r="K450" s="691"/>
      <c r="L450" s="691"/>
      <c r="M450" s="691"/>
      <c r="N450" s="691"/>
      <c r="O450" s="579"/>
    </row>
    <row r="451" spans="1:15" ht="13.5" thickBot="1">
      <c r="B451" s="334"/>
      <c r="C451" s="696" t="s">
        <v>295</v>
      </c>
      <c r="D451" s="697"/>
      <c r="E451" s="697"/>
      <c r="F451" s="697"/>
      <c r="G451" s="697"/>
      <c r="H451" s="697"/>
      <c r="I451" s="698"/>
      <c r="J451" s="699"/>
      <c r="K451" s="543"/>
      <c r="L451" s="543"/>
      <c r="M451" s="543"/>
      <c r="N451" s="543"/>
      <c r="O451" s="700"/>
    </row>
    <row r="452" spans="1:15" ht="15">
      <c r="C452" s="702" t="s">
        <v>273</v>
      </c>
      <c r="D452" s="1268">
        <v>15164191</v>
      </c>
      <c r="E452" s="658" t="s">
        <v>274</v>
      </c>
      <c r="G452" s="703"/>
      <c r="H452" s="703"/>
      <c r="I452" s="704">
        <v>2018</v>
      </c>
      <c r="J452" s="589"/>
      <c r="K452" s="1435" t="s">
        <v>460</v>
      </c>
      <c r="L452" s="1435"/>
      <c r="M452" s="1435"/>
      <c r="N452" s="1435"/>
      <c r="O452" s="1435"/>
    </row>
    <row r="453" spans="1:15">
      <c r="C453" s="702" t="s">
        <v>276</v>
      </c>
      <c r="D453" s="876">
        <v>2015</v>
      </c>
      <c r="E453" s="702" t="s">
        <v>277</v>
      </c>
      <c r="F453" s="703"/>
      <c r="H453" s="334"/>
      <c r="I453" s="879">
        <f>IF(G446="",0,$F$15)</f>
        <v>0</v>
      </c>
      <c r="J453" s="705"/>
      <c r="K453" s="1258" t="s">
        <v>460</v>
      </c>
    </row>
    <row r="454" spans="1:15">
      <c r="C454" s="702" t="s">
        <v>278</v>
      </c>
      <c r="D454" s="1269">
        <v>5</v>
      </c>
      <c r="E454" s="702" t="s">
        <v>279</v>
      </c>
      <c r="F454" s="703"/>
      <c r="H454" s="334"/>
      <c r="I454" s="706">
        <f>$G$70</f>
        <v>0.10790637951024619</v>
      </c>
      <c r="J454" s="707"/>
      <c r="K454" s="334" t="str">
        <f>"          INPUT PROJECTED ARR (WITH &amp; WITHOUT INCENTIVES) FROM EACH PRIOR YEAR"</f>
        <v xml:space="preserve">          INPUT PROJECTED ARR (WITH &amp; WITHOUT INCENTIVES) FROM EACH PRIOR YEAR</v>
      </c>
    </row>
    <row r="455" spans="1:15">
      <c r="C455" s="702" t="s">
        <v>280</v>
      </c>
      <c r="D455" s="708">
        <f>G$79</f>
        <v>59</v>
      </c>
      <c r="E455" s="702" t="s">
        <v>281</v>
      </c>
      <c r="F455" s="703"/>
      <c r="H455" s="334"/>
      <c r="I455" s="706">
        <f>IF(G446="",I454,$G$67)</f>
        <v>0.10790637951024619</v>
      </c>
      <c r="J455" s="709"/>
      <c r="K455" s="334" t="s">
        <v>358</v>
      </c>
    </row>
    <row r="456" spans="1:15" ht="13.5" thickBot="1">
      <c r="C456" s="702" t="s">
        <v>282</v>
      </c>
      <c r="D456" s="878" t="s">
        <v>995</v>
      </c>
      <c r="E456" s="710" t="s">
        <v>283</v>
      </c>
      <c r="F456" s="711"/>
      <c r="G456" s="712"/>
      <c r="H456" s="712"/>
      <c r="I456" s="1267">
        <f>IF(D452=0,0,D452/D455)</f>
        <v>257020.18644067796</v>
      </c>
      <c r="J456" s="1258"/>
      <c r="K456" s="1258" t="s">
        <v>364</v>
      </c>
      <c r="L456" s="1258"/>
      <c r="M456" s="1258"/>
      <c r="N456" s="1258"/>
      <c r="O456" s="591"/>
    </row>
    <row r="457" spans="1:15" ht="51">
      <c r="A457" s="530"/>
      <c r="B457" s="530"/>
      <c r="C457" s="713" t="s">
        <v>273</v>
      </c>
      <c r="D457" s="1270" t="s">
        <v>284</v>
      </c>
      <c r="E457" s="1271" t="s">
        <v>285</v>
      </c>
      <c r="F457" s="1270" t="s">
        <v>286</v>
      </c>
      <c r="G457" s="1271" t="s">
        <v>357</v>
      </c>
      <c r="H457" s="1272" t="s">
        <v>357</v>
      </c>
      <c r="I457" s="713" t="s">
        <v>296</v>
      </c>
      <c r="J457" s="717"/>
      <c r="K457" s="1271" t="s">
        <v>366</v>
      </c>
      <c r="L457" s="1273"/>
      <c r="M457" s="1271" t="s">
        <v>366</v>
      </c>
      <c r="N457" s="1273"/>
      <c r="O457" s="1273"/>
    </row>
    <row r="458" spans="1:15" ht="13.5" thickBot="1">
      <c r="B458" s="334"/>
      <c r="C458" s="719" t="s">
        <v>178</v>
      </c>
      <c r="D458" s="720" t="s">
        <v>179</v>
      </c>
      <c r="E458" s="719" t="s">
        <v>37</v>
      </c>
      <c r="F458" s="720" t="s">
        <v>179</v>
      </c>
      <c r="G458" s="1274" t="s">
        <v>299</v>
      </c>
      <c r="H458" s="1275" t="s">
        <v>301</v>
      </c>
      <c r="I458" s="723" t="s">
        <v>390</v>
      </c>
      <c r="J458" s="724"/>
      <c r="K458" s="1293" t="s">
        <v>288</v>
      </c>
      <c r="L458" s="1276"/>
      <c r="M458" s="1293" t="s">
        <v>301</v>
      </c>
      <c r="N458" s="1276"/>
      <c r="O458" s="1276"/>
    </row>
    <row r="459" spans="1:15">
      <c r="B459" s="334"/>
      <c r="C459" s="725">
        <f>IF(D453= "","-",D453)</f>
        <v>2015</v>
      </c>
      <c r="D459" s="676">
        <f>+D452</f>
        <v>15164191</v>
      </c>
      <c r="E459" s="1277">
        <f>+I456/12*(12-D454)</f>
        <v>149928.44209039546</v>
      </c>
      <c r="F459" s="676">
        <f t="shared" ref="F459:F518" si="24">+D459-E459</f>
        <v>15014262.557909604</v>
      </c>
      <c r="G459" s="1278">
        <f>+$I$454*((D459+F459)/2)+E459</f>
        <v>1778152.2734164619</v>
      </c>
      <c r="H459" s="1279">
        <f>+$I$455*((D459+F459)/2)+E459</f>
        <v>1778152.2734164619</v>
      </c>
      <c r="I459" s="729">
        <f t="shared" ref="I459:I518" si="25">+H459-G459</f>
        <v>0</v>
      </c>
      <c r="J459" s="1294"/>
      <c r="K459" s="1295">
        <v>2647738</v>
      </c>
      <c r="L459" s="1296"/>
      <c r="M459" s="1295">
        <v>2647738</v>
      </c>
      <c r="N459" s="1297"/>
      <c r="O459" s="731"/>
    </row>
    <row r="460" spans="1:15">
      <c r="B460" s="334"/>
      <c r="C460" s="725">
        <f>IF(D453="","-",+C459+1)</f>
        <v>2016</v>
      </c>
      <c r="D460" s="676">
        <f t="shared" ref="D460:D518" si="26">F459</f>
        <v>15014262.557909604</v>
      </c>
      <c r="E460" s="732">
        <f>IF(D460&gt;$I$456,$I$456,D460)</f>
        <v>257020.18644067796</v>
      </c>
      <c r="F460" s="676">
        <f t="shared" si="24"/>
        <v>14757242.371468926</v>
      </c>
      <c r="G460" s="1277">
        <f t="shared" ref="G460:G518" si="27">+$I$454*((D460+F460)/2)+E460</f>
        <v>1863287.8411910203</v>
      </c>
      <c r="H460" s="1280">
        <f t="shared" ref="H460:H518" si="28">+$I$455*((D460+F460)/2)+E460</f>
        <v>1863287.8411910203</v>
      </c>
      <c r="I460" s="729">
        <f t="shared" si="25"/>
        <v>0</v>
      </c>
      <c r="J460" s="1294"/>
      <c r="K460" s="1295">
        <v>2089493</v>
      </c>
      <c r="L460" s="1298"/>
      <c r="M460" s="1295">
        <v>2089493</v>
      </c>
      <c r="N460" s="1299"/>
      <c r="O460" s="735"/>
    </row>
    <row r="461" spans="1:15">
      <c r="B461" s="334"/>
      <c r="C461" s="725">
        <f>IF(D453="","-",+C460+1)</f>
        <v>2017</v>
      </c>
      <c r="D461" s="676">
        <f t="shared" si="26"/>
        <v>14757242.371468926</v>
      </c>
      <c r="E461" s="732">
        <f t="shared" ref="E461:E518" si="29">IF(D461&gt;$I$456,$I$456,D461)</f>
        <v>257020.18644067796</v>
      </c>
      <c r="F461" s="676">
        <f t="shared" si="24"/>
        <v>14500222.185028248</v>
      </c>
      <c r="G461" s="1277">
        <f t="shared" si="27"/>
        <v>1835553.7234111582</v>
      </c>
      <c r="H461" s="1280">
        <f t="shared" si="28"/>
        <v>1835553.7234111582</v>
      </c>
      <c r="I461" s="729">
        <f t="shared" si="25"/>
        <v>0</v>
      </c>
      <c r="J461" s="729"/>
      <c r="K461" s="881">
        <v>2647738</v>
      </c>
      <c r="L461" s="1290"/>
      <c r="M461" s="881">
        <v>2647738</v>
      </c>
      <c r="N461" s="735"/>
      <c r="O461" s="735"/>
    </row>
    <row r="462" spans="1:15">
      <c r="B462" s="334"/>
      <c r="C462" s="1281">
        <f>IF(D453="","-",+C461+1)</f>
        <v>2018</v>
      </c>
      <c r="D462" s="1282">
        <f t="shared" si="26"/>
        <v>14500222.185028248</v>
      </c>
      <c r="E462" s="1283">
        <f t="shared" si="29"/>
        <v>257020.18644067796</v>
      </c>
      <c r="F462" s="1282">
        <f t="shared" si="24"/>
        <v>14243201.998587569</v>
      </c>
      <c r="G462" s="1284">
        <f t="shared" si="27"/>
        <v>1807819.6056312965</v>
      </c>
      <c r="H462" s="1285">
        <f t="shared" si="28"/>
        <v>1807819.6056312965</v>
      </c>
      <c r="I462" s="1291">
        <f t="shared" si="25"/>
        <v>0</v>
      </c>
      <c r="J462" s="729"/>
      <c r="K462" s="881"/>
      <c r="L462" s="735"/>
      <c r="M462" s="881"/>
      <c r="N462" s="735"/>
      <c r="O462" s="735"/>
    </row>
    <row r="463" spans="1:15">
      <c r="B463" s="334"/>
      <c r="C463" s="725">
        <f>IF(D453="","-",+C462+1)</f>
        <v>2019</v>
      </c>
      <c r="D463" s="676">
        <f t="shared" si="26"/>
        <v>14243201.998587569</v>
      </c>
      <c r="E463" s="732">
        <f t="shared" si="29"/>
        <v>257020.18644067796</v>
      </c>
      <c r="F463" s="676">
        <f t="shared" si="24"/>
        <v>13986181.812146891</v>
      </c>
      <c r="G463" s="1277">
        <f t="shared" si="27"/>
        <v>1780085.4878514339</v>
      </c>
      <c r="H463" s="1280">
        <f t="shared" si="28"/>
        <v>1780085.4878514339</v>
      </c>
      <c r="I463" s="729">
        <f t="shared" si="25"/>
        <v>0</v>
      </c>
      <c r="J463" s="729"/>
      <c r="K463" s="881"/>
      <c r="L463" s="735"/>
      <c r="M463" s="881"/>
      <c r="N463" s="735"/>
      <c r="O463" s="735"/>
    </row>
    <row r="464" spans="1:15">
      <c r="B464" s="334"/>
      <c r="C464" s="725">
        <f>IF(D453="","-",+C463+1)</f>
        <v>2020</v>
      </c>
      <c r="D464" s="676">
        <f t="shared" si="26"/>
        <v>13986181.812146891</v>
      </c>
      <c r="E464" s="732">
        <f t="shared" si="29"/>
        <v>257020.18644067796</v>
      </c>
      <c r="F464" s="676">
        <f t="shared" si="24"/>
        <v>13729161.625706213</v>
      </c>
      <c r="G464" s="1277">
        <f t="shared" si="27"/>
        <v>1752351.3700715723</v>
      </c>
      <c r="H464" s="1280">
        <f t="shared" si="28"/>
        <v>1752351.3700715723</v>
      </c>
      <c r="I464" s="729">
        <f t="shared" si="25"/>
        <v>0</v>
      </c>
      <c r="J464" s="729"/>
      <c r="K464" s="881"/>
      <c r="L464" s="735"/>
      <c r="M464" s="881"/>
      <c r="N464" s="735"/>
      <c r="O464" s="735"/>
    </row>
    <row r="465" spans="2:15">
      <c r="B465" s="334"/>
      <c r="C465" s="725">
        <f>IF(D453="","-",+C464+1)</f>
        <v>2021</v>
      </c>
      <c r="D465" s="676">
        <f t="shared" si="26"/>
        <v>13729161.625706213</v>
      </c>
      <c r="E465" s="732">
        <f t="shared" si="29"/>
        <v>257020.18644067796</v>
      </c>
      <c r="F465" s="676">
        <f t="shared" si="24"/>
        <v>13472141.439265534</v>
      </c>
      <c r="G465" s="1277">
        <f t="shared" si="27"/>
        <v>1724617.2522917101</v>
      </c>
      <c r="H465" s="1280">
        <f t="shared" si="28"/>
        <v>1724617.2522917101</v>
      </c>
      <c r="I465" s="729">
        <f t="shared" si="25"/>
        <v>0</v>
      </c>
      <c r="J465" s="729"/>
      <c r="K465" s="881"/>
      <c r="L465" s="735"/>
      <c r="M465" s="881"/>
      <c r="N465" s="735"/>
      <c r="O465" s="735"/>
    </row>
    <row r="466" spans="2:15">
      <c r="B466" s="334"/>
      <c r="C466" s="725">
        <f>IF(D453="","-",+C465+1)</f>
        <v>2022</v>
      </c>
      <c r="D466" s="676">
        <f t="shared" si="26"/>
        <v>13472141.439265534</v>
      </c>
      <c r="E466" s="732">
        <f t="shared" si="29"/>
        <v>257020.18644067796</v>
      </c>
      <c r="F466" s="676">
        <f t="shared" si="24"/>
        <v>13215121.252824856</v>
      </c>
      <c r="G466" s="1277">
        <f t="shared" si="27"/>
        <v>1696883.134511848</v>
      </c>
      <c r="H466" s="1280">
        <f t="shared" si="28"/>
        <v>1696883.134511848</v>
      </c>
      <c r="I466" s="729">
        <f t="shared" si="25"/>
        <v>0</v>
      </c>
      <c r="J466" s="729"/>
      <c r="K466" s="881"/>
      <c r="L466" s="735"/>
      <c r="M466" s="881"/>
      <c r="N466" s="735"/>
      <c r="O466" s="735"/>
    </row>
    <row r="467" spans="2:15">
      <c r="B467" s="334"/>
      <c r="C467" s="725">
        <f>IF(D453="","-",+C466+1)</f>
        <v>2023</v>
      </c>
      <c r="D467" s="676">
        <f t="shared" si="26"/>
        <v>13215121.252824856</v>
      </c>
      <c r="E467" s="732">
        <f t="shared" si="29"/>
        <v>257020.18644067796</v>
      </c>
      <c r="F467" s="676">
        <f t="shared" si="24"/>
        <v>12958101.066384178</v>
      </c>
      <c r="G467" s="1277">
        <f t="shared" si="27"/>
        <v>1669149.0167319858</v>
      </c>
      <c r="H467" s="1280">
        <f t="shared" si="28"/>
        <v>1669149.0167319858</v>
      </c>
      <c r="I467" s="729">
        <f t="shared" si="25"/>
        <v>0</v>
      </c>
      <c r="J467" s="729"/>
      <c r="K467" s="881"/>
      <c r="L467" s="735"/>
      <c r="M467" s="881"/>
      <c r="N467" s="735"/>
      <c r="O467" s="735"/>
    </row>
    <row r="468" spans="2:15">
      <c r="B468" s="334"/>
      <c r="C468" s="725">
        <f>IF(D453="","-",+C467+1)</f>
        <v>2024</v>
      </c>
      <c r="D468" s="676">
        <f t="shared" si="26"/>
        <v>12958101.066384178</v>
      </c>
      <c r="E468" s="732">
        <f t="shared" si="29"/>
        <v>257020.18644067796</v>
      </c>
      <c r="F468" s="676">
        <f t="shared" si="24"/>
        <v>12701080.879943499</v>
      </c>
      <c r="G468" s="1277">
        <f t="shared" si="27"/>
        <v>1641414.8989521242</v>
      </c>
      <c r="H468" s="1280">
        <f t="shared" si="28"/>
        <v>1641414.8989521242</v>
      </c>
      <c r="I468" s="729">
        <f t="shared" si="25"/>
        <v>0</v>
      </c>
      <c r="J468" s="729"/>
      <c r="K468" s="881"/>
      <c r="L468" s="735"/>
      <c r="M468" s="881"/>
      <c r="N468" s="735"/>
      <c r="O468" s="735"/>
    </row>
    <row r="469" spans="2:15">
      <c r="B469" s="334"/>
      <c r="C469" s="725">
        <f>IF(D453="","-",+C468+1)</f>
        <v>2025</v>
      </c>
      <c r="D469" s="676">
        <f t="shared" si="26"/>
        <v>12701080.879943499</v>
      </c>
      <c r="E469" s="732">
        <f t="shared" si="29"/>
        <v>257020.18644067796</v>
      </c>
      <c r="F469" s="676">
        <f t="shared" si="24"/>
        <v>12444060.693502821</v>
      </c>
      <c r="G469" s="1277">
        <f t="shared" si="27"/>
        <v>1613680.7811722616</v>
      </c>
      <c r="H469" s="1280">
        <f t="shared" si="28"/>
        <v>1613680.7811722616</v>
      </c>
      <c r="I469" s="729">
        <f t="shared" si="25"/>
        <v>0</v>
      </c>
      <c r="J469" s="729"/>
      <c r="K469" s="881"/>
      <c r="L469" s="735"/>
      <c r="M469" s="881"/>
      <c r="N469" s="735"/>
      <c r="O469" s="735"/>
    </row>
    <row r="470" spans="2:15">
      <c r="B470" s="334"/>
      <c r="C470" s="725">
        <f>IF(D453="","-",+C469+1)</f>
        <v>2026</v>
      </c>
      <c r="D470" s="676">
        <f t="shared" si="26"/>
        <v>12444060.693502821</v>
      </c>
      <c r="E470" s="732">
        <f t="shared" si="29"/>
        <v>257020.18644067796</v>
      </c>
      <c r="F470" s="676">
        <f t="shared" si="24"/>
        <v>12187040.507062143</v>
      </c>
      <c r="G470" s="1277">
        <f t="shared" si="27"/>
        <v>1585946.6633923999</v>
      </c>
      <c r="H470" s="1280">
        <f t="shared" si="28"/>
        <v>1585946.6633923999</v>
      </c>
      <c r="I470" s="729">
        <f t="shared" si="25"/>
        <v>0</v>
      </c>
      <c r="J470" s="729"/>
      <c r="K470" s="881"/>
      <c r="L470" s="735"/>
      <c r="M470" s="881"/>
      <c r="N470" s="735"/>
      <c r="O470" s="735"/>
    </row>
    <row r="471" spans="2:15">
      <c r="B471" s="334"/>
      <c r="C471" s="725">
        <f>IF(D453="","-",+C470+1)</f>
        <v>2027</v>
      </c>
      <c r="D471" s="676">
        <f t="shared" si="26"/>
        <v>12187040.507062143</v>
      </c>
      <c r="E471" s="732">
        <f t="shared" si="29"/>
        <v>257020.18644067796</v>
      </c>
      <c r="F471" s="676">
        <f t="shared" si="24"/>
        <v>11930020.320621464</v>
      </c>
      <c r="G471" s="1277">
        <f t="shared" si="27"/>
        <v>1558212.5456125378</v>
      </c>
      <c r="H471" s="1280">
        <f t="shared" si="28"/>
        <v>1558212.5456125378</v>
      </c>
      <c r="I471" s="729">
        <f t="shared" si="25"/>
        <v>0</v>
      </c>
      <c r="J471" s="729"/>
      <c r="K471" s="881"/>
      <c r="L471" s="735"/>
      <c r="M471" s="881"/>
      <c r="N471" s="736"/>
      <c r="O471" s="735"/>
    </row>
    <row r="472" spans="2:15">
      <c r="B472" s="334"/>
      <c r="C472" s="725">
        <f>IF(D453="","-",+C471+1)</f>
        <v>2028</v>
      </c>
      <c r="D472" s="676">
        <f t="shared" si="26"/>
        <v>11930020.320621464</v>
      </c>
      <c r="E472" s="732">
        <f t="shared" si="29"/>
        <v>257020.18644067796</v>
      </c>
      <c r="F472" s="676">
        <f t="shared" si="24"/>
        <v>11673000.134180786</v>
      </c>
      <c r="G472" s="1277">
        <f t="shared" si="27"/>
        <v>1530478.4278326756</v>
      </c>
      <c r="H472" s="1280">
        <f t="shared" si="28"/>
        <v>1530478.4278326756</v>
      </c>
      <c r="I472" s="729">
        <f t="shared" si="25"/>
        <v>0</v>
      </c>
      <c r="J472" s="729"/>
      <c r="K472" s="881"/>
      <c r="L472" s="735"/>
      <c r="M472" s="881"/>
      <c r="N472" s="735"/>
      <c r="O472" s="735"/>
    </row>
    <row r="473" spans="2:15">
      <c r="B473" s="334"/>
      <c r="C473" s="725">
        <f>IF(D453="","-",+C472+1)</f>
        <v>2029</v>
      </c>
      <c r="D473" s="676">
        <f t="shared" si="26"/>
        <v>11673000.134180786</v>
      </c>
      <c r="E473" s="732">
        <f t="shared" si="29"/>
        <v>257020.18644067796</v>
      </c>
      <c r="F473" s="676">
        <f t="shared" si="24"/>
        <v>11415979.947740108</v>
      </c>
      <c r="G473" s="1277">
        <f t="shared" si="27"/>
        <v>1502744.3100528135</v>
      </c>
      <c r="H473" s="1280">
        <f t="shared" si="28"/>
        <v>1502744.3100528135</v>
      </c>
      <c r="I473" s="729">
        <f t="shared" si="25"/>
        <v>0</v>
      </c>
      <c r="J473" s="729"/>
      <c r="K473" s="881"/>
      <c r="L473" s="735"/>
      <c r="M473" s="881"/>
      <c r="N473" s="735"/>
      <c r="O473" s="735"/>
    </row>
    <row r="474" spans="2:15">
      <c r="B474" s="334"/>
      <c r="C474" s="725">
        <f>IF(D453="","-",+C473+1)</f>
        <v>2030</v>
      </c>
      <c r="D474" s="676">
        <f t="shared" si="26"/>
        <v>11415979.947740108</v>
      </c>
      <c r="E474" s="732">
        <f t="shared" si="29"/>
        <v>257020.18644067796</v>
      </c>
      <c r="F474" s="676">
        <f t="shared" si="24"/>
        <v>11158959.761299429</v>
      </c>
      <c r="G474" s="1277">
        <f t="shared" si="27"/>
        <v>1475010.1922729514</v>
      </c>
      <c r="H474" s="1280">
        <f t="shared" si="28"/>
        <v>1475010.1922729514</v>
      </c>
      <c r="I474" s="729">
        <f t="shared" si="25"/>
        <v>0</v>
      </c>
      <c r="J474" s="729"/>
      <c r="K474" s="881"/>
      <c r="L474" s="735"/>
      <c r="M474" s="881"/>
      <c r="N474" s="735"/>
      <c r="O474" s="735"/>
    </row>
    <row r="475" spans="2:15">
      <c r="B475" s="334"/>
      <c r="C475" s="725">
        <f>IF(D453="","-",+C474+1)</f>
        <v>2031</v>
      </c>
      <c r="D475" s="676">
        <f t="shared" si="26"/>
        <v>11158959.761299429</v>
      </c>
      <c r="E475" s="732">
        <f t="shared" si="29"/>
        <v>257020.18644067796</v>
      </c>
      <c r="F475" s="676">
        <f t="shared" si="24"/>
        <v>10901939.574858751</v>
      </c>
      <c r="G475" s="1277">
        <f t="shared" si="27"/>
        <v>1447276.0744930892</v>
      </c>
      <c r="H475" s="1280">
        <f t="shared" si="28"/>
        <v>1447276.0744930892</v>
      </c>
      <c r="I475" s="729">
        <f t="shared" si="25"/>
        <v>0</v>
      </c>
      <c r="J475" s="729"/>
      <c r="K475" s="881"/>
      <c r="L475" s="735"/>
      <c r="M475" s="881"/>
      <c r="N475" s="735"/>
      <c r="O475" s="735"/>
    </row>
    <row r="476" spans="2:15">
      <c r="B476" s="334"/>
      <c r="C476" s="725">
        <f>IF(D453="","-",+C475+1)</f>
        <v>2032</v>
      </c>
      <c r="D476" s="676">
        <f t="shared" si="26"/>
        <v>10901939.574858751</v>
      </c>
      <c r="E476" s="732">
        <f t="shared" si="29"/>
        <v>257020.18644067796</v>
      </c>
      <c r="F476" s="676">
        <f t="shared" si="24"/>
        <v>10644919.388418073</v>
      </c>
      <c r="G476" s="1277">
        <f t="shared" si="27"/>
        <v>1419541.9567132276</v>
      </c>
      <c r="H476" s="1280">
        <f t="shared" si="28"/>
        <v>1419541.9567132276</v>
      </c>
      <c r="I476" s="729">
        <f t="shared" si="25"/>
        <v>0</v>
      </c>
      <c r="J476" s="729"/>
      <c r="K476" s="881"/>
      <c r="L476" s="735"/>
      <c r="M476" s="881"/>
      <c r="N476" s="735"/>
      <c r="O476" s="735"/>
    </row>
    <row r="477" spans="2:15">
      <c r="B477" s="334"/>
      <c r="C477" s="725">
        <f>IF(D453="","-",+C476+1)</f>
        <v>2033</v>
      </c>
      <c r="D477" s="676">
        <f t="shared" si="26"/>
        <v>10644919.388418073</v>
      </c>
      <c r="E477" s="732">
        <f t="shared" si="29"/>
        <v>257020.18644067796</v>
      </c>
      <c r="F477" s="676">
        <f t="shared" si="24"/>
        <v>10387899.201977395</v>
      </c>
      <c r="G477" s="1277">
        <f t="shared" si="27"/>
        <v>1391807.838933365</v>
      </c>
      <c r="H477" s="1280">
        <f t="shared" si="28"/>
        <v>1391807.838933365</v>
      </c>
      <c r="I477" s="729">
        <f t="shared" si="25"/>
        <v>0</v>
      </c>
      <c r="J477" s="729"/>
      <c r="K477" s="881"/>
      <c r="L477" s="735"/>
      <c r="M477" s="881"/>
      <c r="N477" s="735"/>
      <c r="O477" s="735"/>
    </row>
    <row r="478" spans="2:15">
      <c r="B478" s="334"/>
      <c r="C478" s="725">
        <f>IF(D453="","-",+C477+1)</f>
        <v>2034</v>
      </c>
      <c r="D478" s="676">
        <f t="shared" si="26"/>
        <v>10387899.201977395</v>
      </c>
      <c r="E478" s="732">
        <f t="shared" si="29"/>
        <v>257020.18644067796</v>
      </c>
      <c r="F478" s="676">
        <f t="shared" si="24"/>
        <v>10130879.015536716</v>
      </c>
      <c r="G478" s="1277">
        <f t="shared" si="27"/>
        <v>1364073.7211535033</v>
      </c>
      <c r="H478" s="1280">
        <f t="shared" si="28"/>
        <v>1364073.7211535033</v>
      </c>
      <c r="I478" s="729">
        <f t="shared" si="25"/>
        <v>0</v>
      </c>
      <c r="J478" s="729"/>
      <c r="K478" s="881"/>
      <c r="L478" s="735"/>
      <c r="M478" s="881"/>
      <c r="N478" s="735"/>
      <c r="O478" s="735"/>
    </row>
    <row r="479" spans="2:15">
      <c r="B479" s="334"/>
      <c r="C479" s="725">
        <f>IF(D453="","-",+C478+1)</f>
        <v>2035</v>
      </c>
      <c r="D479" s="676">
        <f t="shared" si="26"/>
        <v>10130879.015536716</v>
      </c>
      <c r="E479" s="732">
        <f t="shared" si="29"/>
        <v>257020.18644067796</v>
      </c>
      <c r="F479" s="676">
        <f t="shared" si="24"/>
        <v>9873858.8290960379</v>
      </c>
      <c r="G479" s="1277">
        <f t="shared" si="27"/>
        <v>1336339.6033736411</v>
      </c>
      <c r="H479" s="1280">
        <f t="shared" si="28"/>
        <v>1336339.6033736411</v>
      </c>
      <c r="I479" s="729">
        <f t="shared" si="25"/>
        <v>0</v>
      </c>
      <c r="J479" s="729"/>
      <c r="K479" s="881"/>
      <c r="L479" s="735"/>
      <c r="M479" s="881"/>
      <c r="N479" s="735"/>
      <c r="O479" s="735"/>
    </row>
    <row r="480" spans="2:15">
      <c r="B480" s="334"/>
      <c r="C480" s="725">
        <f>IF(D453="","-",+C479+1)</f>
        <v>2036</v>
      </c>
      <c r="D480" s="676">
        <f t="shared" si="26"/>
        <v>9873858.8290960379</v>
      </c>
      <c r="E480" s="732">
        <f t="shared" si="29"/>
        <v>257020.18644067796</v>
      </c>
      <c r="F480" s="676">
        <f t="shared" si="24"/>
        <v>9616838.6426553596</v>
      </c>
      <c r="G480" s="1277">
        <f t="shared" si="27"/>
        <v>1308605.485593779</v>
      </c>
      <c r="H480" s="1280">
        <f t="shared" si="28"/>
        <v>1308605.485593779</v>
      </c>
      <c r="I480" s="729">
        <f t="shared" si="25"/>
        <v>0</v>
      </c>
      <c r="J480" s="729"/>
      <c r="K480" s="881"/>
      <c r="L480" s="735"/>
      <c r="M480" s="881"/>
      <c r="N480" s="735"/>
      <c r="O480" s="735"/>
    </row>
    <row r="481" spans="2:15">
      <c r="B481" s="334"/>
      <c r="C481" s="725">
        <f>IF(D453="","-",+C480+1)</f>
        <v>2037</v>
      </c>
      <c r="D481" s="676">
        <f t="shared" si="26"/>
        <v>9616838.6426553596</v>
      </c>
      <c r="E481" s="732">
        <f t="shared" si="29"/>
        <v>257020.18644067796</v>
      </c>
      <c r="F481" s="676">
        <f t="shared" si="24"/>
        <v>9359818.4562146813</v>
      </c>
      <c r="G481" s="1277">
        <f t="shared" si="27"/>
        <v>1280871.3678139169</v>
      </c>
      <c r="H481" s="1280">
        <f t="shared" si="28"/>
        <v>1280871.3678139169</v>
      </c>
      <c r="I481" s="729">
        <f t="shared" si="25"/>
        <v>0</v>
      </c>
      <c r="J481" s="729"/>
      <c r="K481" s="881"/>
      <c r="L481" s="735"/>
      <c r="M481" s="881"/>
      <c r="N481" s="735"/>
      <c r="O481" s="735"/>
    </row>
    <row r="482" spans="2:15">
      <c r="B482" s="334"/>
      <c r="C482" s="725">
        <f>IF(D453="","-",+C481+1)</f>
        <v>2038</v>
      </c>
      <c r="D482" s="676">
        <f t="shared" si="26"/>
        <v>9359818.4562146813</v>
      </c>
      <c r="E482" s="732">
        <f t="shared" si="29"/>
        <v>257020.18644067796</v>
      </c>
      <c r="F482" s="676">
        <f t="shared" si="24"/>
        <v>9102798.269774003</v>
      </c>
      <c r="G482" s="1277">
        <f t="shared" si="27"/>
        <v>1253137.2500340552</v>
      </c>
      <c r="H482" s="1280">
        <f t="shared" si="28"/>
        <v>1253137.2500340552</v>
      </c>
      <c r="I482" s="729">
        <f t="shared" si="25"/>
        <v>0</v>
      </c>
      <c r="J482" s="729"/>
      <c r="K482" s="881"/>
      <c r="L482" s="735"/>
      <c r="M482" s="881"/>
      <c r="N482" s="735"/>
      <c r="O482" s="735"/>
    </row>
    <row r="483" spans="2:15">
      <c r="B483" s="334"/>
      <c r="C483" s="725">
        <f>IF(D453="","-",+C482+1)</f>
        <v>2039</v>
      </c>
      <c r="D483" s="676">
        <f t="shared" si="26"/>
        <v>9102798.269774003</v>
      </c>
      <c r="E483" s="732">
        <f t="shared" si="29"/>
        <v>257020.18644067796</v>
      </c>
      <c r="F483" s="676">
        <f t="shared" si="24"/>
        <v>8845778.0833333246</v>
      </c>
      <c r="G483" s="1277">
        <f t="shared" si="27"/>
        <v>1225403.1322541926</v>
      </c>
      <c r="H483" s="1280">
        <f t="shared" si="28"/>
        <v>1225403.1322541926</v>
      </c>
      <c r="I483" s="729">
        <f t="shared" si="25"/>
        <v>0</v>
      </c>
      <c r="J483" s="729"/>
      <c r="K483" s="881"/>
      <c r="L483" s="735"/>
      <c r="M483" s="881"/>
      <c r="N483" s="735"/>
      <c r="O483" s="735"/>
    </row>
    <row r="484" spans="2:15">
      <c r="B484" s="334"/>
      <c r="C484" s="725">
        <f>IF(D453="","-",+C483+1)</f>
        <v>2040</v>
      </c>
      <c r="D484" s="676">
        <f t="shared" si="26"/>
        <v>8845778.0833333246</v>
      </c>
      <c r="E484" s="732">
        <f t="shared" si="29"/>
        <v>257020.18644067796</v>
      </c>
      <c r="F484" s="676">
        <f t="shared" si="24"/>
        <v>8588757.8968926463</v>
      </c>
      <c r="G484" s="1277">
        <f t="shared" si="27"/>
        <v>1197669.0144743309</v>
      </c>
      <c r="H484" s="1280">
        <f t="shared" si="28"/>
        <v>1197669.0144743309</v>
      </c>
      <c r="I484" s="729">
        <f t="shared" si="25"/>
        <v>0</v>
      </c>
      <c r="J484" s="729"/>
      <c r="K484" s="881"/>
      <c r="L484" s="735"/>
      <c r="M484" s="881"/>
      <c r="N484" s="735"/>
      <c r="O484" s="735"/>
    </row>
    <row r="485" spans="2:15">
      <c r="B485" s="334"/>
      <c r="C485" s="725">
        <f>IF(D453="","-",+C484+1)</f>
        <v>2041</v>
      </c>
      <c r="D485" s="676">
        <f t="shared" si="26"/>
        <v>8588757.8968926463</v>
      </c>
      <c r="E485" s="732">
        <f t="shared" si="29"/>
        <v>257020.18644067796</v>
      </c>
      <c r="F485" s="676">
        <f t="shared" si="24"/>
        <v>8331737.710451968</v>
      </c>
      <c r="G485" s="1277">
        <f t="shared" si="27"/>
        <v>1169934.8966944688</v>
      </c>
      <c r="H485" s="1280">
        <f t="shared" si="28"/>
        <v>1169934.8966944688</v>
      </c>
      <c r="I485" s="729">
        <f t="shared" si="25"/>
        <v>0</v>
      </c>
      <c r="J485" s="729"/>
      <c r="K485" s="881"/>
      <c r="L485" s="735"/>
      <c r="M485" s="881"/>
      <c r="N485" s="735"/>
      <c r="O485" s="735"/>
    </row>
    <row r="486" spans="2:15">
      <c r="B486" s="334"/>
      <c r="C486" s="725">
        <f>IF(D453="","-",+C485+1)</f>
        <v>2042</v>
      </c>
      <c r="D486" s="676">
        <f t="shared" si="26"/>
        <v>8331737.710451968</v>
      </c>
      <c r="E486" s="732">
        <f t="shared" si="29"/>
        <v>257020.18644067796</v>
      </c>
      <c r="F486" s="676">
        <f t="shared" si="24"/>
        <v>8074717.5240112897</v>
      </c>
      <c r="G486" s="1277">
        <f t="shared" si="27"/>
        <v>1142200.7789146067</v>
      </c>
      <c r="H486" s="1280">
        <f t="shared" si="28"/>
        <v>1142200.7789146067</v>
      </c>
      <c r="I486" s="729">
        <f t="shared" si="25"/>
        <v>0</v>
      </c>
      <c r="J486" s="729"/>
      <c r="K486" s="881"/>
      <c r="L486" s="735"/>
      <c r="M486" s="881"/>
      <c r="N486" s="735"/>
      <c r="O486" s="735"/>
    </row>
    <row r="487" spans="2:15">
      <c r="B487" s="334"/>
      <c r="C487" s="725">
        <f>IF(D453="","-",+C486+1)</f>
        <v>2043</v>
      </c>
      <c r="D487" s="676">
        <f t="shared" si="26"/>
        <v>8074717.5240112897</v>
      </c>
      <c r="E487" s="732">
        <f t="shared" si="29"/>
        <v>257020.18644067796</v>
      </c>
      <c r="F487" s="676">
        <f t="shared" si="24"/>
        <v>7817697.3375706114</v>
      </c>
      <c r="G487" s="1286">
        <f t="shared" si="27"/>
        <v>1114466.6611347445</v>
      </c>
      <c r="H487" s="1280">
        <f t="shared" si="28"/>
        <v>1114466.6611347445</v>
      </c>
      <c r="I487" s="729">
        <f t="shared" si="25"/>
        <v>0</v>
      </c>
      <c r="J487" s="729"/>
      <c r="K487" s="881"/>
      <c r="L487" s="735"/>
      <c r="M487" s="881"/>
      <c r="N487" s="735"/>
      <c r="O487" s="735"/>
    </row>
    <row r="488" spans="2:15">
      <c r="B488" s="334"/>
      <c r="C488" s="725">
        <f>IF(D453="","-",+C487+1)</f>
        <v>2044</v>
      </c>
      <c r="D488" s="676">
        <f t="shared" si="26"/>
        <v>7817697.3375706114</v>
      </c>
      <c r="E488" s="732">
        <f t="shared" si="29"/>
        <v>257020.18644067796</v>
      </c>
      <c r="F488" s="676">
        <f t="shared" si="24"/>
        <v>7560677.1511299331</v>
      </c>
      <c r="G488" s="1277">
        <f t="shared" si="27"/>
        <v>1086732.5433548824</v>
      </c>
      <c r="H488" s="1280">
        <f t="shared" si="28"/>
        <v>1086732.5433548824</v>
      </c>
      <c r="I488" s="729">
        <f t="shared" si="25"/>
        <v>0</v>
      </c>
      <c r="J488" s="729"/>
      <c r="K488" s="881"/>
      <c r="L488" s="735"/>
      <c r="M488" s="881"/>
      <c r="N488" s="735"/>
      <c r="O488" s="735"/>
    </row>
    <row r="489" spans="2:15">
      <c r="B489" s="334"/>
      <c r="C489" s="725">
        <f>IF(D453="","-",+C488+1)</f>
        <v>2045</v>
      </c>
      <c r="D489" s="676">
        <f t="shared" si="26"/>
        <v>7560677.1511299331</v>
      </c>
      <c r="E489" s="732">
        <f t="shared" si="29"/>
        <v>257020.18644067796</v>
      </c>
      <c r="F489" s="676">
        <f t="shared" si="24"/>
        <v>7303656.9646892548</v>
      </c>
      <c r="G489" s="1277">
        <f t="shared" si="27"/>
        <v>1058998.4255750205</v>
      </c>
      <c r="H489" s="1280">
        <f t="shared" si="28"/>
        <v>1058998.4255750205</v>
      </c>
      <c r="I489" s="729">
        <f t="shared" si="25"/>
        <v>0</v>
      </c>
      <c r="J489" s="729"/>
      <c r="K489" s="881"/>
      <c r="L489" s="735"/>
      <c r="M489" s="881"/>
      <c r="N489" s="735"/>
      <c r="O489" s="735"/>
    </row>
    <row r="490" spans="2:15">
      <c r="B490" s="334"/>
      <c r="C490" s="725">
        <f>IF(D453="","-",+C489+1)</f>
        <v>2046</v>
      </c>
      <c r="D490" s="676">
        <f t="shared" si="26"/>
        <v>7303656.9646892548</v>
      </c>
      <c r="E490" s="732">
        <f t="shared" si="29"/>
        <v>257020.18644067796</v>
      </c>
      <c r="F490" s="676">
        <f t="shared" si="24"/>
        <v>7046636.7782485764</v>
      </c>
      <c r="G490" s="1277">
        <f t="shared" si="27"/>
        <v>1031264.3077951584</v>
      </c>
      <c r="H490" s="1280">
        <f t="shared" si="28"/>
        <v>1031264.3077951584</v>
      </c>
      <c r="I490" s="729">
        <f t="shared" si="25"/>
        <v>0</v>
      </c>
      <c r="J490" s="729"/>
      <c r="K490" s="881"/>
      <c r="L490" s="735"/>
      <c r="M490" s="881"/>
      <c r="N490" s="735"/>
      <c r="O490" s="735"/>
    </row>
    <row r="491" spans="2:15">
      <c r="B491" s="334"/>
      <c r="C491" s="725">
        <f>IF(D453="","-",+C490+1)</f>
        <v>2047</v>
      </c>
      <c r="D491" s="676">
        <f t="shared" si="26"/>
        <v>7046636.7782485764</v>
      </c>
      <c r="E491" s="732">
        <f t="shared" si="29"/>
        <v>257020.18644067796</v>
      </c>
      <c r="F491" s="676">
        <f t="shared" si="24"/>
        <v>6789616.5918078981</v>
      </c>
      <c r="G491" s="1277">
        <f t="shared" si="27"/>
        <v>1003530.1900152963</v>
      </c>
      <c r="H491" s="1280">
        <f t="shared" si="28"/>
        <v>1003530.1900152963</v>
      </c>
      <c r="I491" s="729">
        <f t="shared" si="25"/>
        <v>0</v>
      </c>
      <c r="J491" s="729"/>
      <c r="K491" s="881"/>
      <c r="L491" s="735"/>
      <c r="M491" s="881"/>
      <c r="N491" s="735"/>
      <c r="O491" s="735"/>
    </row>
    <row r="492" spans="2:15">
      <c r="B492" s="334"/>
      <c r="C492" s="725">
        <f>IF(D453="","-",+C491+1)</f>
        <v>2048</v>
      </c>
      <c r="D492" s="676">
        <f t="shared" si="26"/>
        <v>6789616.5918078981</v>
      </c>
      <c r="E492" s="732">
        <f t="shared" si="29"/>
        <v>257020.18644067796</v>
      </c>
      <c r="F492" s="676">
        <f t="shared" si="24"/>
        <v>6532596.4053672198</v>
      </c>
      <c r="G492" s="1277">
        <f t="shared" si="27"/>
        <v>975796.07223543432</v>
      </c>
      <c r="H492" s="1280">
        <f t="shared" si="28"/>
        <v>975796.07223543432</v>
      </c>
      <c r="I492" s="729">
        <f t="shared" si="25"/>
        <v>0</v>
      </c>
      <c r="J492" s="729"/>
      <c r="K492" s="881"/>
      <c r="L492" s="735"/>
      <c r="M492" s="881"/>
      <c r="N492" s="735"/>
      <c r="O492" s="735"/>
    </row>
    <row r="493" spans="2:15">
      <c r="B493" s="334"/>
      <c r="C493" s="725">
        <f>IF(D453="","-",+C492+1)</f>
        <v>2049</v>
      </c>
      <c r="D493" s="676">
        <f t="shared" si="26"/>
        <v>6532596.4053672198</v>
      </c>
      <c r="E493" s="732">
        <f t="shared" si="29"/>
        <v>257020.18644067796</v>
      </c>
      <c r="F493" s="676">
        <f t="shared" si="24"/>
        <v>6275576.2189265415</v>
      </c>
      <c r="G493" s="1277">
        <f t="shared" si="27"/>
        <v>948061.95445557218</v>
      </c>
      <c r="H493" s="1280">
        <f t="shared" si="28"/>
        <v>948061.95445557218</v>
      </c>
      <c r="I493" s="729">
        <f t="shared" si="25"/>
        <v>0</v>
      </c>
      <c r="J493" s="729"/>
      <c r="K493" s="881"/>
      <c r="L493" s="735"/>
      <c r="M493" s="881"/>
      <c r="N493" s="735"/>
      <c r="O493" s="735"/>
    </row>
    <row r="494" spans="2:15">
      <c r="B494" s="334"/>
      <c r="C494" s="725">
        <f>IF(D453="","-",+C493+1)</f>
        <v>2050</v>
      </c>
      <c r="D494" s="676">
        <f t="shared" si="26"/>
        <v>6275576.2189265415</v>
      </c>
      <c r="E494" s="732">
        <f t="shared" si="29"/>
        <v>257020.18644067796</v>
      </c>
      <c r="F494" s="676">
        <f t="shared" si="24"/>
        <v>6018556.0324858632</v>
      </c>
      <c r="G494" s="1277">
        <f t="shared" si="27"/>
        <v>920327.83667571016</v>
      </c>
      <c r="H494" s="1280">
        <f t="shared" si="28"/>
        <v>920327.83667571016</v>
      </c>
      <c r="I494" s="729">
        <f t="shared" si="25"/>
        <v>0</v>
      </c>
      <c r="J494" s="729"/>
      <c r="K494" s="881"/>
      <c r="L494" s="735"/>
      <c r="M494" s="881"/>
      <c r="N494" s="735"/>
      <c r="O494" s="735"/>
    </row>
    <row r="495" spans="2:15">
      <c r="B495" s="334"/>
      <c r="C495" s="725">
        <f>IF(D453="","-",+C494+1)</f>
        <v>2051</v>
      </c>
      <c r="D495" s="676">
        <f t="shared" si="26"/>
        <v>6018556.0324858632</v>
      </c>
      <c r="E495" s="732">
        <f t="shared" si="29"/>
        <v>257020.18644067796</v>
      </c>
      <c r="F495" s="676">
        <f t="shared" si="24"/>
        <v>5761535.8460451849</v>
      </c>
      <c r="G495" s="1277">
        <f t="shared" si="27"/>
        <v>892593.71889584803</v>
      </c>
      <c r="H495" s="1280">
        <f t="shared" si="28"/>
        <v>892593.71889584803</v>
      </c>
      <c r="I495" s="729">
        <f t="shared" si="25"/>
        <v>0</v>
      </c>
      <c r="J495" s="729"/>
      <c r="K495" s="881"/>
      <c r="L495" s="735"/>
      <c r="M495" s="881"/>
      <c r="N495" s="735"/>
      <c r="O495" s="735"/>
    </row>
    <row r="496" spans="2:15">
      <c r="B496" s="334"/>
      <c r="C496" s="725">
        <f>IF(D453="","-",+C495+1)</f>
        <v>2052</v>
      </c>
      <c r="D496" s="676">
        <f t="shared" si="26"/>
        <v>5761535.8460451849</v>
      </c>
      <c r="E496" s="732">
        <f t="shared" si="29"/>
        <v>257020.18644067796</v>
      </c>
      <c r="F496" s="676">
        <f t="shared" si="24"/>
        <v>5504515.6596045066</v>
      </c>
      <c r="G496" s="1277">
        <f t="shared" si="27"/>
        <v>864859.60111598601</v>
      </c>
      <c r="H496" s="1280">
        <f t="shared" si="28"/>
        <v>864859.60111598601</v>
      </c>
      <c r="I496" s="729">
        <f t="shared" si="25"/>
        <v>0</v>
      </c>
      <c r="J496" s="729"/>
      <c r="K496" s="881"/>
      <c r="L496" s="735"/>
      <c r="M496" s="881"/>
      <c r="N496" s="735"/>
      <c r="O496" s="735"/>
    </row>
    <row r="497" spans="2:15">
      <c r="B497" s="334"/>
      <c r="C497" s="725">
        <f>IF(D453="","-",+C496+1)</f>
        <v>2053</v>
      </c>
      <c r="D497" s="676">
        <f t="shared" si="26"/>
        <v>5504515.6596045066</v>
      </c>
      <c r="E497" s="732">
        <f t="shared" si="29"/>
        <v>257020.18644067796</v>
      </c>
      <c r="F497" s="676">
        <f t="shared" si="24"/>
        <v>5247495.4731638283</v>
      </c>
      <c r="G497" s="1277">
        <f t="shared" si="27"/>
        <v>837125.48333612399</v>
      </c>
      <c r="H497" s="1280">
        <f t="shared" si="28"/>
        <v>837125.48333612399</v>
      </c>
      <c r="I497" s="729">
        <f t="shared" si="25"/>
        <v>0</v>
      </c>
      <c r="J497" s="729"/>
      <c r="K497" s="881"/>
      <c r="L497" s="735"/>
      <c r="M497" s="881"/>
      <c r="N497" s="735"/>
      <c r="O497" s="735"/>
    </row>
    <row r="498" spans="2:15">
      <c r="B498" s="334"/>
      <c r="C498" s="725">
        <f>IF(D453="","-",+C497+1)</f>
        <v>2054</v>
      </c>
      <c r="D498" s="676">
        <f t="shared" si="26"/>
        <v>5247495.4731638283</v>
      </c>
      <c r="E498" s="732">
        <f t="shared" si="29"/>
        <v>257020.18644067796</v>
      </c>
      <c r="F498" s="676">
        <f t="shared" si="24"/>
        <v>4990475.2867231499</v>
      </c>
      <c r="G498" s="1277">
        <f t="shared" si="27"/>
        <v>809391.36555626185</v>
      </c>
      <c r="H498" s="1280">
        <f t="shared" si="28"/>
        <v>809391.36555626185</v>
      </c>
      <c r="I498" s="729">
        <f t="shared" si="25"/>
        <v>0</v>
      </c>
      <c r="J498" s="729"/>
      <c r="K498" s="881"/>
      <c r="L498" s="735"/>
      <c r="M498" s="881"/>
      <c r="N498" s="735"/>
      <c r="O498" s="735"/>
    </row>
    <row r="499" spans="2:15">
      <c r="B499" s="334"/>
      <c r="C499" s="725">
        <f>IF(D453="","-",+C498+1)</f>
        <v>2055</v>
      </c>
      <c r="D499" s="676">
        <f t="shared" si="26"/>
        <v>4990475.2867231499</v>
      </c>
      <c r="E499" s="732">
        <f t="shared" si="29"/>
        <v>257020.18644067796</v>
      </c>
      <c r="F499" s="676">
        <f t="shared" si="24"/>
        <v>4733455.1002824716</v>
      </c>
      <c r="G499" s="1277">
        <f t="shared" si="27"/>
        <v>781657.24777639983</v>
      </c>
      <c r="H499" s="1280">
        <f t="shared" si="28"/>
        <v>781657.24777639983</v>
      </c>
      <c r="I499" s="729">
        <f t="shared" si="25"/>
        <v>0</v>
      </c>
      <c r="J499" s="729"/>
      <c r="K499" s="881"/>
      <c r="L499" s="735"/>
      <c r="M499" s="881"/>
      <c r="N499" s="735"/>
      <c r="O499" s="735"/>
    </row>
    <row r="500" spans="2:15">
      <c r="B500" s="334"/>
      <c r="C500" s="725">
        <f>IF(D453="","-",+C499+1)</f>
        <v>2056</v>
      </c>
      <c r="D500" s="676">
        <f t="shared" si="26"/>
        <v>4733455.1002824716</v>
      </c>
      <c r="E500" s="732">
        <f t="shared" si="29"/>
        <v>257020.18644067796</v>
      </c>
      <c r="F500" s="676">
        <f t="shared" si="24"/>
        <v>4476434.9138417933</v>
      </c>
      <c r="G500" s="1277">
        <f t="shared" si="27"/>
        <v>753923.1299965377</v>
      </c>
      <c r="H500" s="1280">
        <f t="shared" si="28"/>
        <v>753923.1299965377</v>
      </c>
      <c r="I500" s="729">
        <f t="shared" si="25"/>
        <v>0</v>
      </c>
      <c r="J500" s="729"/>
      <c r="K500" s="881"/>
      <c r="L500" s="735"/>
      <c r="M500" s="881"/>
      <c r="N500" s="735"/>
      <c r="O500" s="735"/>
    </row>
    <row r="501" spans="2:15">
      <c r="B501" s="334"/>
      <c r="C501" s="725">
        <f>IF(D453="","-",+C500+1)</f>
        <v>2057</v>
      </c>
      <c r="D501" s="676">
        <f t="shared" si="26"/>
        <v>4476434.9138417933</v>
      </c>
      <c r="E501" s="732">
        <f t="shared" si="29"/>
        <v>257020.18644067796</v>
      </c>
      <c r="F501" s="676">
        <f t="shared" si="24"/>
        <v>4219414.727401115</v>
      </c>
      <c r="G501" s="1277">
        <f t="shared" si="27"/>
        <v>726189.01221667568</v>
      </c>
      <c r="H501" s="1280">
        <f t="shared" si="28"/>
        <v>726189.01221667568</v>
      </c>
      <c r="I501" s="729">
        <f t="shared" si="25"/>
        <v>0</v>
      </c>
      <c r="J501" s="729"/>
      <c r="K501" s="881"/>
      <c r="L501" s="735"/>
      <c r="M501" s="881"/>
      <c r="N501" s="735"/>
      <c r="O501" s="735"/>
    </row>
    <row r="502" spans="2:15">
      <c r="B502" s="334"/>
      <c r="C502" s="725">
        <f>IF(D453="","-",+C501+1)</f>
        <v>2058</v>
      </c>
      <c r="D502" s="676">
        <f t="shared" si="26"/>
        <v>4219414.727401115</v>
      </c>
      <c r="E502" s="732">
        <f t="shared" si="29"/>
        <v>257020.18644067796</v>
      </c>
      <c r="F502" s="676">
        <f t="shared" si="24"/>
        <v>3962394.5409604372</v>
      </c>
      <c r="G502" s="1277">
        <f t="shared" si="27"/>
        <v>698454.89443681366</v>
      </c>
      <c r="H502" s="1280">
        <f t="shared" si="28"/>
        <v>698454.89443681366</v>
      </c>
      <c r="I502" s="729">
        <f t="shared" si="25"/>
        <v>0</v>
      </c>
      <c r="J502" s="729"/>
      <c r="K502" s="881"/>
      <c r="L502" s="735"/>
      <c r="M502" s="881"/>
      <c r="N502" s="735"/>
      <c r="O502" s="735"/>
    </row>
    <row r="503" spans="2:15">
      <c r="B503" s="334"/>
      <c r="C503" s="725">
        <f>IF(D453="","-",+C502+1)</f>
        <v>2059</v>
      </c>
      <c r="D503" s="676">
        <f t="shared" si="26"/>
        <v>3962394.5409604372</v>
      </c>
      <c r="E503" s="732">
        <f t="shared" si="29"/>
        <v>257020.18644067796</v>
      </c>
      <c r="F503" s="676">
        <f t="shared" si="24"/>
        <v>3705374.3545197593</v>
      </c>
      <c r="G503" s="1277">
        <f t="shared" si="27"/>
        <v>670720.77665695164</v>
      </c>
      <c r="H503" s="1280">
        <f t="shared" si="28"/>
        <v>670720.77665695164</v>
      </c>
      <c r="I503" s="729">
        <f t="shared" si="25"/>
        <v>0</v>
      </c>
      <c r="J503" s="729"/>
      <c r="K503" s="881"/>
      <c r="L503" s="735"/>
      <c r="M503" s="881"/>
      <c r="N503" s="735"/>
      <c r="O503" s="735"/>
    </row>
    <row r="504" spans="2:15">
      <c r="B504" s="334"/>
      <c r="C504" s="725">
        <f>IF(D453="","-",+C503+1)</f>
        <v>2060</v>
      </c>
      <c r="D504" s="676">
        <f t="shared" si="26"/>
        <v>3705374.3545197593</v>
      </c>
      <c r="E504" s="732">
        <f t="shared" si="29"/>
        <v>257020.18644067796</v>
      </c>
      <c r="F504" s="676">
        <f t="shared" si="24"/>
        <v>3448354.1680790815</v>
      </c>
      <c r="G504" s="1277">
        <f t="shared" si="27"/>
        <v>642986.65887708962</v>
      </c>
      <c r="H504" s="1280">
        <f t="shared" si="28"/>
        <v>642986.65887708962</v>
      </c>
      <c r="I504" s="729">
        <f t="shared" si="25"/>
        <v>0</v>
      </c>
      <c r="J504" s="729"/>
      <c r="K504" s="881"/>
      <c r="L504" s="735"/>
      <c r="M504" s="881"/>
      <c r="N504" s="735"/>
      <c r="O504" s="735"/>
    </row>
    <row r="505" spans="2:15">
      <c r="B505" s="334"/>
      <c r="C505" s="725">
        <f>IF(D453="","-",+C504+1)</f>
        <v>2061</v>
      </c>
      <c r="D505" s="676">
        <f t="shared" si="26"/>
        <v>3448354.1680790815</v>
      </c>
      <c r="E505" s="732">
        <f t="shared" si="29"/>
        <v>257020.18644067796</v>
      </c>
      <c r="F505" s="676">
        <f t="shared" si="24"/>
        <v>3191333.9816384036</v>
      </c>
      <c r="G505" s="1277">
        <f t="shared" si="27"/>
        <v>615252.5410972276</v>
      </c>
      <c r="H505" s="1280">
        <f t="shared" si="28"/>
        <v>615252.5410972276</v>
      </c>
      <c r="I505" s="729">
        <f t="shared" si="25"/>
        <v>0</v>
      </c>
      <c r="J505" s="729"/>
      <c r="K505" s="881"/>
      <c r="L505" s="735"/>
      <c r="M505" s="881"/>
      <c r="N505" s="735"/>
      <c r="O505" s="735"/>
    </row>
    <row r="506" spans="2:15">
      <c r="B506" s="334"/>
      <c r="C506" s="725">
        <f>IF(D453="","-",+C505+1)</f>
        <v>2062</v>
      </c>
      <c r="D506" s="676">
        <f t="shared" si="26"/>
        <v>3191333.9816384036</v>
      </c>
      <c r="E506" s="732">
        <f t="shared" si="29"/>
        <v>257020.18644067796</v>
      </c>
      <c r="F506" s="676">
        <f t="shared" si="24"/>
        <v>2934313.7951977258</v>
      </c>
      <c r="G506" s="1277">
        <f t="shared" si="27"/>
        <v>587518.42331736558</v>
      </c>
      <c r="H506" s="1280">
        <f t="shared" si="28"/>
        <v>587518.42331736558</v>
      </c>
      <c r="I506" s="729">
        <f t="shared" si="25"/>
        <v>0</v>
      </c>
      <c r="J506" s="729"/>
      <c r="K506" s="881"/>
      <c r="L506" s="735"/>
      <c r="M506" s="881"/>
      <c r="N506" s="735"/>
      <c r="O506" s="735"/>
    </row>
    <row r="507" spans="2:15">
      <c r="B507" s="334"/>
      <c r="C507" s="725">
        <f>IF(D453="","-",+C506+1)</f>
        <v>2063</v>
      </c>
      <c r="D507" s="676">
        <f t="shared" si="26"/>
        <v>2934313.7951977258</v>
      </c>
      <c r="E507" s="732">
        <f t="shared" si="29"/>
        <v>257020.18644067796</v>
      </c>
      <c r="F507" s="676">
        <f t="shared" si="24"/>
        <v>2677293.6087570479</v>
      </c>
      <c r="G507" s="1277">
        <f t="shared" si="27"/>
        <v>559784.30553750356</v>
      </c>
      <c r="H507" s="1280">
        <f t="shared" si="28"/>
        <v>559784.30553750356</v>
      </c>
      <c r="I507" s="729">
        <f t="shared" si="25"/>
        <v>0</v>
      </c>
      <c r="J507" s="729"/>
      <c r="K507" s="881"/>
      <c r="L507" s="735"/>
      <c r="M507" s="881"/>
      <c r="N507" s="735"/>
      <c r="O507" s="735"/>
    </row>
    <row r="508" spans="2:15">
      <c r="B508" s="334"/>
      <c r="C508" s="725">
        <f>IF(D453="","-",+C507+1)</f>
        <v>2064</v>
      </c>
      <c r="D508" s="676">
        <f t="shared" si="26"/>
        <v>2677293.6087570479</v>
      </c>
      <c r="E508" s="732">
        <f t="shared" si="29"/>
        <v>257020.18644067796</v>
      </c>
      <c r="F508" s="676">
        <f t="shared" si="24"/>
        <v>2420273.4223163701</v>
      </c>
      <c r="G508" s="1277">
        <f t="shared" si="27"/>
        <v>532050.18775764154</v>
      </c>
      <c r="H508" s="1280">
        <f t="shared" si="28"/>
        <v>532050.18775764154</v>
      </c>
      <c r="I508" s="729">
        <f t="shared" si="25"/>
        <v>0</v>
      </c>
      <c r="J508" s="729"/>
      <c r="K508" s="881"/>
      <c r="L508" s="735"/>
      <c r="M508" s="881"/>
      <c r="N508" s="735"/>
      <c r="O508" s="735"/>
    </row>
    <row r="509" spans="2:15">
      <c r="B509" s="334"/>
      <c r="C509" s="725">
        <f>IF(D453="","-",+C508+1)</f>
        <v>2065</v>
      </c>
      <c r="D509" s="676">
        <f t="shared" si="26"/>
        <v>2420273.4223163701</v>
      </c>
      <c r="E509" s="732">
        <f t="shared" si="29"/>
        <v>257020.18644067796</v>
      </c>
      <c r="F509" s="676">
        <f t="shared" si="24"/>
        <v>2163253.2358756922</v>
      </c>
      <c r="G509" s="1277">
        <f t="shared" si="27"/>
        <v>504316.06997777952</v>
      </c>
      <c r="H509" s="1280">
        <f t="shared" si="28"/>
        <v>504316.06997777952</v>
      </c>
      <c r="I509" s="729">
        <f t="shared" si="25"/>
        <v>0</v>
      </c>
      <c r="J509" s="729"/>
      <c r="K509" s="881"/>
      <c r="L509" s="735"/>
      <c r="M509" s="881"/>
      <c r="N509" s="735"/>
      <c r="O509" s="735"/>
    </row>
    <row r="510" spans="2:15">
      <c r="B510" s="334"/>
      <c r="C510" s="725">
        <f>IF(D453="","-",+C509+1)</f>
        <v>2066</v>
      </c>
      <c r="D510" s="676">
        <f t="shared" si="26"/>
        <v>2163253.2358756922</v>
      </c>
      <c r="E510" s="732">
        <f t="shared" si="29"/>
        <v>257020.18644067796</v>
      </c>
      <c r="F510" s="676">
        <f t="shared" si="24"/>
        <v>1906233.0494350144</v>
      </c>
      <c r="G510" s="1277">
        <f t="shared" si="27"/>
        <v>476581.9521979175</v>
      </c>
      <c r="H510" s="1280">
        <f t="shared" si="28"/>
        <v>476581.9521979175</v>
      </c>
      <c r="I510" s="729">
        <f t="shared" si="25"/>
        <v>0</v>
      </c>
      <c r="J510" s="729"/>
      <c r="K510" s="881"/>
      <c r="L510" s="735"/>
      <c r="M510" s="881"/>
      <c r="N510" s="735"/>
      <c r="O510" s="735"/>
    </row>
    <row r="511" spans="2:15">
      <c r="B511" s="334"/>
      <c r="C511" s="725">
        <f>IF(D453="","-",+C510+1)</f>
        <v>2067</v>
      </c>
      <c r="D511" s="676">
        <f t="shared" si="26"/>
        <v>1906233.0494350144</v>
      </c>
      <c r="E511" s="732">
        <f t="shared" si="29"/>
        <v>257020.18644067796</v>
      </c>
      <c r="F511" s="676">
        <f t="shared" si="24"/>
        <v>1649212.8629943365</v>
      </c>
      <c r="G511" s="1277">
        <f t="shared" si="27"/>
        <v>448847.83441805549</v>
      </c>
      <c r="H511" s="1280">
        <f t="shared" si="28"/>
        <v>448847.83441805549</v>
      </c>
      <c r="I511" s="729">
        <f t="shared" si="25"/>
        <v>0</v>
      </c>
      <c r="J511" s="729"/>
      <c r="K511" s="881"/>
      <c r="L511" s="735"/>
      <c r="M511" s="881"/>
      <c r="N511" s="735"/>
      <c r="O511" s="735"/>
    </row>
    <row r="512" spans="2:15">
      <c r="B512" s="334"/>
      <c r="C512" s="725">
        <f>IF(D453="","-",+C511+1)</f>
        <v>2068</v>
      </c>
      <c r="D512" s="676">
        <f t="shared" si="26"/>
        <v>1649212.8629943365</v>
      </c>
      <c r="E512" s="732">
        <f t="shared" si="29"/>
        <v>257020.18644067796</v>
      </c>
      <c r="F512" s="676">
        <f t="shared" si="24"/>
        <v>1392192.6765536587</v>
      </c>
      <c r="G512" s="1277">
        <f t="shared" si="27"/>
        <v>421113.71663819347</v>
      </c>
      <c r="H512" s="1280">
        <f t="shared" si="28"/>
        <v>421113.71663819347</v>
      </c>
      <c r="I512" s="729">
        <f t="shared" si="25"/>
        <v>0</v>
      </c>
      <c r="J512" s="729"/>
      <c r="K512" s="881"/>
      <c r="L512" s="735"/>
      <c r="M512" s="881"/>
      <c r="N512" s="735"/>
      <c r="O512" s="735"/>
    </row>
    <row r="513" spans="2:15">
      <c r="B513" s="334"/>
      <c r="C513" s="725">
        <f>IF(D453="","-",+C512+1)</f>
        <v>2069</v>
      </c>
      <c r="D513" s="676">
        <f t="shared" si="26"/>
        <v>1392192.6765536587</v>
      </c>
      <c r="E513" s="732">
        <f t="shared" si="29"/>
        <v>257020.18644067796</v>
      </c>
      <c r="F513" s="676">
        <f t="shared" si="24"/>
        <v>1135172.4901129808</v>
      </c>
      <c r="G513" s="1277">
        <f t="shared" si="27"/>
        <v>393379.59885833145</v>
      </c>
      <c r="H513" s="1280">
        <f t="shared" si="28"/>
        <v>393379.59885833145</v>
      </c>
      <c r="I513" s="729">
        <f t="shared" si="25"/>
        <v>0</v>
      </c>
      <c r="J513" s="729"/>
      <c r="K513" s="881"/>
      <c r="L513" s="735"/>
      <c r="M513" s="881"/>
      <c r="N513" s="735"/>
      <c r="O513" s="735"/>
    </row>
    <row r="514" spans="2:15">
      <c r="B514" s="334"/>
      <c r="C514" s="725">
        <f>IF(D453="","-",+C513+1)</f>
        <v>2070</v>
      </c>
      <c r="D514" s="676">
        <f t="shared" si="26"/>
        <v>1135172.4901129808</v>
      </c>
      <c r="E514" s="732">
        <f t="shared" si="29"/>
        <v>257020.18644067796</v>
      </c>
      <c r="F514" s="676">
        <f t="shared" si="24"/>
        <v>878152.30367230286</v>
      </c>
      <c r="G514" s="1277">
        <f t="shared" si="27"/>
        <v>365645.48107846943</v>
      </c>
      <c r="H514" s="1280">
        <f t="shared" si="28"/>
        <v>365645.48107846943</v>
      </c>
      <c r="I514" s="729">
        <f t="shared" si="25"/>
        <v>0</v>
      </c>
      <c r="J514" s="729"/>
      <c r="K514" s="881"/>
      <c r="L514" s="735"/>
      <c r="M514" s="881"/>
      <c r="N514" s="735"/>
      <c r="O514" s="735"/>
    </row>
    <row r="515" spans="2:15">
      <c r="B515" s="334"/>
      <c r="C515" s="725">
        <f>IF(D453="","-",+C514+1)</f>
        <v>2071</v>
      </c>
      <c r="D515" s="676">
        <f t="shared" si="26"/>
        <v>878152.30367230286</v>
      </c>
      <c r="E515" s="732">
        <f t="shared" si="29"/>
        <v>257020.18644067796</v>
      </c>
      <c r="F515" s="676">
        <f t="shared" si="24"/>
        <v>621132.1172316249</v>
      </c>
      <c r="G515" s="1277">
        <f t="shared" si="27"/>
        <v>337911.36329860741</v>
      </c>
      <c r="H515" s="1280">
        <f t="shared" si="28"/>
        <v>337911.36329860741</v>
      </c>
      <c r="I515" s="729">
        <f t="shared" si="25"/>
        <v>0</v>
      </c>
      <c r="J515" s="729"/>
      <c r="K515" s="881"/>
      <c r="L515" s="735"/>
      <c r="M515" s="881"/>
      <c r="N515" s="735"/>
      <c r="O515" s="735"/>
    </row>
    <row r="516" spans="2:15">
      <c r="B516" s="334"/>
      <c r="C516" s="725">
        <f>IF(D453="","-",+C515+1)</f>
        <v>2072</v>
      </c>
      <c r="D516" s="676">
        <f t="shared" si="26"/>
        <v>621132.1172316249</v>
      </c>
      <c r="E516" s="732">
        <f t="shared" si="29"/>
        <v>257020.18644067796</v>
      </c>
      <c r="F516" s="676">
        <f t="shared" si="24"/>
        <v>364111.93079094694</v>
      </c>
      <c r="G516" s="1277">
        <f t="shared" si="27"/>
        <v>310177.24551874539</v>
      </c>
      <c r="H516" s="1280">
        <f t="shared" si="28"/>
        <v>310177.24551874539</v>
      </c>
      <c r="I516" s="729">
        <f t="shared" si="25"/>
        <v>0</v>
      </c>
      <c r="J516" s="729"/>
      <c r="K516" s="881"/>
      <c r="L516" s="735"/>
      <c r="M516" s="881"/>
      <c r="N516" s="735"/>
      <c r="O516" s="735"/>
    </row>
    <row r="517" spans="2:15">
      <c r="B517" s="334"/>
      <c r="C517" s="725">
        <f>IF(D453="","-",+C516+1)</f>
        <v>2073</v>
      </c>
      <c r="D517" s="676">
        <f t="shared" si="26"/>
        <v>364111.93079094694</v>
      </c>
      <c r="E517" s="732">
        <f t="shared" si="29"/>
        <v>257020.18644067796</v>
      </c>
      <c r="F517" s="676">
        <f t="shared" si="24"/>
        <v>107091.74435026897</v>
      </c>
      <c r="G517" s="1277">
        <f t="shared" si="27"/>
        <v>282443.12773888337</v>
      </c>
      <c r="H517" s="1280">
        <f t="shared" si="28"/>
        <v>282443.12773888337</v>
      </c>
      <c r="I517" s="729">
        <f t="shared" si="25"/>
        <v>0</v>
      </c>
      <c r="J517" s="729"/>
      <c r="K517" s="881"/>
      <c r="L517" s="735"/>
      <c r="M517" s="881"/>
      <c r="N517" s="735"/>
      <c r="O517" s="735"/>
    </row>
    <row r="518" spans="2:15" ht="13.5" thickBot="1">
      <c r="B518" s="334"/>
      <c r="C518" s="737">
        <f>IF(D453="","-",+C517+1)</f>
        <v>2074</v>
      </c>
      <c r="D518" s="738">
        <f t="shared" si="26"/>
        <v>107091.74435026897</v>
      </c>
      <c r="E518" s="739">
        <f t="shared" si="29"/>
        <v>107091.74435026897</v>
      </c>
      <c r="F518" s="738">
        <f t="shared" si="24"/>
        <v>0</v>
      </c>
      <c r="G518" s="1287">
        <f t="shared" si="27"/>
        <v>112869.68555440617</v>
      </c>
      <c r="H518" s="1287">
        <f t="shared" si="28"/>
        <v>112869.68555440617</v>
      </c>
      <c r="I518" s="741">
        <f t="shared" si="25"/>
        <v>0</v>
      </c>
      <c r="J518" s="729"/>
      <c r="K518" s="882"/>
      <c r="L518" s="743"/>
      <c r="M518" s="882"/>
      <c r="N518" s="743"/>
      <c r="O518" s="743"/>
    </row>
    <row r="519" spans="2:15">
      <c r="B519" s="334"/>
      <c r="C519" s="676" t="s">
        <v>289</v>
      </c>
      <c r="D519" s="1258"/>
      <c r="E519" s="1258">
        <f>SUM(E459:E518)</f>
        <v>15164191</v>
      </c>
      <c r="F519" s="1258"/>
      <c r="G519" s="1258">
        <f>SUM(G459:G518)</f>
        <v>64117220.057938047</v>
      </c>
      <c r="H519" s="1258">
        <f>SUM(H459:H518)</f>
        <v>64117220.057938047</v>
      </c>
      <c r="I519" s="1258">
        <f>SUM(I459:I518)</f>
        <v>0</v>
      </c>
      <c r="J519" s="1258"/>
      <c r="K519" s="1258"/>
      <c r="L519" s="1258"/>
      <c r="M519" s="1258"/>
      <c r="N519" s="1258"/>
      <c r="O519" s="543"/>
    </row>
    <row r="520" spans="2:15">
      <c r="B520" s="334"/>
      <c r="D520" s="566"/>
      <c r="E520" s="543"/>
      <c r="F520" s="543"/>
      <c r="G520" s="543"/>
      <c r="H520" s="1257"/>
      <c r="I520" s="1257"/>
      <c r="J520" s="1258"/>
      <c r="K520" s="1257"/>
      <c r="L520" s="1257"/>
      <c r="M520" s="1257"/>
      <c r="N520" s="1257"/>
      <c r="O520" s="543"/>
    </row>
    <row r="521" spans="2:15">
      <c r="B521" s="334"/>
      <c r="C521" s="543" t="s">
        <v>602</v>
      </c>
      <c r="D521" s="566"/>
      <c r="E521" s="543"/>
      <c r="F521" s="543"/>
      <c r="G521" s="543"/>
      <c r="H521" s="1257"/>
      <c r="I521" s="1257"/>
      <c r="J521" s="1258"/>
      <c r="K521" s="1257"/>
      <c r="L521" s="1257"/>
      <c r="M521" s="1257"/>
      <c r="N521" s="1257"/>
      <c r="O521" s="543"/>
    </row>
    <row r="522" spans="2:15">
      <c r="B522" s="334"/>
      <c r="D522" s="566"/>
      <c r="E522" s="543"/>
      <c r="F522" s="543"/>
      <c r="G522" s="543"/>
      <c r="H522" s="1257"/>
      <c r="I522" s="1257"/>
      <c r="J522" s="1258"/>
      <c r="K522" s="1257"/>
      <c r="L522" s="1257"/>
      <c r="M522" s="1257"/>
      <c r="N522" s="1257"/>
      <c r="O522" s="543"/>
    </row>
    <row r="523" spans="2:15">
      <c r="B523" s="334"/>
      <c r="C523" s="579" t="s">
        <v>603</v>
      </c>
      <c r="D523" s="676"/>
      <c r="E523" s="676"/>
      <c r="F523" s="676"/>
      <c r="G523" s="1258"/>
      <c r="H523" s="1258"/>
      <c r="I523" s="677"/>
      <c r="J523" s="677"/>
      <c r="K523" s="677"/>
      <c r="L523" s="677"/>
      <c r="M523" s="677"/>
      <c r="N523" s="677"/>
      <c r="O523" s="543"/>
    </row>
    <row r="524" spans="2:15">
      <c r="B524" s="334"/>
      <c r="C524" s="579" t="s">
        <v>477</v>
      </c>
      <c r="D524" s="676"/>
      <c r="E524" s="676"/>
      <c r="F524" s="676"/>
      <c r="G524" s="1258"/>
      <c r="H524" s="1258"/>
      <c r="I524" s="677"/>
      <c r="J524" s="677"/>
      <c r="K524" s="677"/>
      <c r="L524" s="677"/>
      <c r="M524" s="677"/>
      <c r="N524" s="677"/>
      <c r="O524" s="543"/>
    </row>
    <row r="525" spans="2:15">
      <c r="B525" s="334"/>
      <c r="C525" s="579" t="s">
        <v>290</v>
      </c>
      <c r="D525" s="676"/>
      <c r="E525" s="676"/>
      <c r="F525" s="676"/>
      <c r="G525" s="1258"/>
      <c r="H525" s="1258"/>
      <c r="I525" s="677"/>
      <c r="J525" s="677"/>
      <c r="K525" s="677"/>
      <c r="L525" s="677"/>
      <c r="M525" s="677"/>
      <c r="N525" s="677"/>
      <c r="O525" s="543"/>
    </row>
    <row r="526" spans="2:15">
      <c r="B526" s="334"/>
      <c r="C526" s="675"/>
      <c r="D526" s="676"/>
      <c r="E526" s="676"/>
      <c r="F526" s="676"/>
      <c r="G526" s="1258"/>
      <c r="H526" s="1258"/>
      <c r="I526" s="677"/>
      <c r="J526" s="677"/>
      <c r="K526" s="677"/>
      <c r="L526" s="677"/>
      <c r="M526" s="677"/>
      <c r="N526" s="677"/>
      <c r="O526" s="543"/>
    </row>
    <row r="527" spans="2:15">
      <c r="B527" s="334"/>
      <c r="C527" s="1436" t="s">
        <v>461</v>
      </c>
      <c r="D527" s="1436"/>
      <c r="E527" s="1436"/>
      <c r="F527" s="1436"/>
      <c r="G527" s="1436"/>
      <c r="H527" s="1436"/>
      <c r="I527" s="1436"/>
      <c r="J527" s="1436"/>
      <c r="K527" s="1436"/>
      <c r="L527" s="1436"/>
      <c r="M527" s="1436"/>
      <c r="N527" s="1436"/>
      <c r="O527" s="1436"/>
    </row>
    <row r="528" spans="2:15">
      <c r="B528" s="334"/>
      <c r="C528" s="1436"/>
      <c r="D528" s="1436"/>
      <c r="E528" s="1436"/>
      <c r="F528" s="1436"/>
      <c r="G528" s="1436"/>
      <c r="H528" s="1436"/>
      <c r="I528" s="1436"/>
      <c r="J528" s="1436"/>
      <c r="K528" s="1436"/>
      <c r="L528" s="1436"/>
      <c r="M528" s="1436"/>
      <c r="N528" s="1436"/>
      <c r="O528" s="1436"/>
    </row>
    <row r="529" spans="1:16" ht="20.25">
      <c r="A529" s="678" t="s">
        <v>993</v>
      </c>
      <c r="B529" s="543"/>
      <c r="C529" s="658"/>
      <c r="D529" s="566"/>
      <c r="E529" s="543"/>
      <c r="F529" s="648"/>
      <c r="G529" s="543"/>
      <c r="H529" s="1257"/>
      <c r="K529" s="679"/>
      <c r="L529" s="679"/>
      <c r="M529" s="679"/>
      <c r="N529" s="594" t="str">
        <f>"Page "&amp;SUM(P$6:P529)&amp;" of "</f>
        <v xml:space="preserve">Page 7 of </v>
      </c>
      <c r="O529" s="595">
        <f>COUNT(P$6:P$59606)</f>
        <v>14</v>
      </c>
      <c r="P529" s="543">
        <v>1</v>
      </c>
    </row>
    <row r="530" spans="1:16">
      <c r="B530" s="543"/>
      <c r="C530" s="543"/>
      <c r="D530" s="566"/>
      <c r="E530" s="543"/>
      <c r="F530" s="543"/>
      <c r="G530" s="543"/>
      <c r="H530" s="1257"/>
      <c r="I530" s="543"/>
      <c r="J530" s="591"/>
      <c r="K530" s="543"/>
      <c r="L530" s="543"/>
      <c r="M530" s="543"/>
      <c r="N530" s="543"/>
      <c r="O530" s="543"/>
    </row>
    <row r="531" spans="1:16" ht="18">
      <c r="B531" s="598" t="s">
        <v>175</v>
      </c>
      <c r="C531" s="680" t="s">
        <v>291</v>
      </c>
      <c r="D531" s="566"/>
      <c r="E531" s="543"/>
      <c r="F531" s="543"/>
      <c r="G531" s="543"/>
      <c r="H531" s="1257"/>
      <c r="I531" s="1257"/>
      <c r="J531" s="1258"/>
      <c r="K531" s="1257"/>
      <c r="L531" s="1257"/>
      <c r="M531" s="1257"/>
      <c r="N531" s="1257"/>
      <c r="O531" s="543"/>
    </row>
    <row r="532" spans="1:16" ht="18.75">
      <c r="B532" s="598"/>
      <c r="C532" s="597"/>
      <c r="D532" s="566"/>
      <c r="E532" s="543"/>
      <c r="F532" s="543"/>
      <c r="G532" s="543"/>
      <c r="H532" s="1257"/>
      <c r="I532" s="1257"/>
      <c r="J532" s="1258"/>
      <c r="K532" s="1257"/>
      <c r="L532" s="1257"/>
      <c r="M532" s="1257"/>
      <c r="N532" s="1257"/>
      <c r="O532" s="543"/>
    </row>
    <row r="533" spans="1:16" ht="18.75">
      <c r="B533" s="598"/>
      <c r="C533" s="597" t="s">
        <v>292</v>
      </c>
      <c r="D533" s="566"/>
      <c r="E533" s="543"/>
      <c r="F533" s="543"/>
      <c r="G533" s="543"/>
      <c r="H533" s="1257"/>
      <c r="I533" s="1257"/>
      <c r="J533" s="1258"/>
      <c r="K533" s="1257"/>
      <c r="L533" s="1257"/>
      <c r="M533" s="1257"/>
      <c r="N533" s="1257"/>
      <c r="O533" s="543"/>
    </row>
    <row r="534" spans="1:16" ht="15.75" thickBot="1">
      <c r="B534" s="334"/>
      <c r="C534" s="400"/>
      <c r="D534" s="566"/>
      <c r="E534" s="543"/>
      <c r="F534" s="543"/>
      <c r="G534" s="543"/>
      <c r="H534" s="1257"/>
      <c r="I534" s="1257"/>
      <c r="J534" s="1258"/>
      <c r="K534" s="1257"/>
      <c r="L534" s="1257"/>
      <c r="M534" s="1257"/>
      <c r="N534" s="1257"/>
      <c r="O534" s="543"/>
    </row>
    <row r="535" spans="1:16" ht="15.75">
      <c r="B535" s="334"/>
      <c r="C535" s="599" t="s">
        <v>293</v>
      </c>
      <c r="D535" s="566"/>
      <c r="E535" s="543"/>
      <c r="F535" s="543"/>
      <c r="G535" s="1259"/>
      <c r="H535" s="543" t="s">
        <v>272</v>
      </c>
      <c r="I535" s="543"/>
      <c r="J535" s="591"/>
      <c r="K535" s="681" t="s">
        <v>297</v>
      </c>
      <c r="L535" s="682"/>
      <c r="M535" s="683"/>
      <c r="N535" s="1260">
        <f>VLOOKUP(I541,C548:O607,5)</f>
        <v>1784209.5194521528</v>
      </c>
      <c r="O535" s="543"/>
    </row>
    <row r="536" spans="1:16" ht="15.75">
      <c r="B536" s="334"/>
      <c r="C536" s="599"/>
      <c r="D536" s="566"/>
      <c r="E536" s="543"/>
      <c r="F536" s="543"/>
      <c r="G536" s="543"/>
      <c r="H536" s="1261"/>
      <c r="I536" s="1261"/>
      <c r="J536" s="1262"/>
      <c r="K536" s="686" t="s">
        <v>298</v>
      </c>
      <c r="L536" s="1263"/>
      <c r="M536" s="591"/>
      <c r="N536" s="1264">
        <f>VLOOKUP(I541,C548:O607,6)</f>
        <v>1784209.5194521528</v>
      </c>
      <c r="O536" s="543"/>
    </row>
    <row r="537" spans="1:16" ht="13.5" thickBot="1">
      <c r="B537" s="334"/>
      <c r="C537" s="687" t="s">
        <v>294</v>
      </c>
      <c r="D537" s="1434" t="s">
        <v>1000</v>
      </c>
      <c r="E537" s="1434"/>
      <c r="F537" s="1434"/>
      <c r="G537" s="1434"/>
      <c r="H537" s="1434"/>
      <c r="I537" s="1257"/>
      <c r="J537" s="1258"/>
      <c r="K537" s="1265" t="s">
        <v>451</v>
      </c>
      <c r="L537" s="1266"/>
      <c r="M537" s="1266"/>
      <c r="N537" s="1267">
        <f>+N536-N535</f>
        <v>0</v>
      </c>
      <c r="O537" s="543"/>
    </row>
    <row r="538" spans="1:16">
      <c r="B538" s="334"/>
      <c r="C538" s="689"/>
      <c r="D538" s="690"/>
      <c r="E538" s="674"/>
      <c r="F538" s="674"/>
      <c r="G538" s="691"/>
      <c r="H538" s="1257"/>
      <c r="I538" s="1257"/>
      <c r="J538" s="1258"/>
      <c r="K538" s="1257"/>
      <c r="L538" s="1257"/>
      <c r="M538" s="1257"/>
      <c r="N538" s="1257"/>
      <c r="O538" s="543"/>
    </row>
    <row r="539" spans="1:16" ht="13.5" thickBot="1">
      <c r="B539" s="334"/>
      <c r="C539" s="692"/>
      <c r="D539" s="693"/>
      <c r="E539" s="691"/>
      <c r="F539" s="691"/>
      <c r="G539" s="691"/>
      <c r="H539" s="691"/>
      <c r="I539" s="691"/>
      <c r="J539" s="694"/>
      <c r="K539" s="691"/>
      <c r="L539" s="691"/>
      <c r="M539" s="691"/>
      <c r="N539" s="691"/>
      <c r="O539" s="579"/>
    </row>
    <row r="540" spans="1:16" ht="13.5" thickBot="1">
      <c r="B540" s="334"/>
      <c r="C540" s="696" t="s">
        <v>295</v>
      </c>
      <c r="D540" s="697"/>
      <c r="E540" s="697"/>
      <c r="F540" s="697"/>
      <c r="G540" s="697"/>
      <c r="H540" s="697"/>
      <c r="I540" s="698"/>
      <c r="J540" s="699"/>
      <c r="K540" s="543"/>
      <c r="L540" s="543"/>
      <c r="M540" s="543"/>
      <c r="N540" s="543"/>
      <c r="O540" s="700"/>
    </row>
    <row r="541" spans="1:16" ht="15">
      <c r="C541" s="702" t="s">
        <v>273</v>
      </c>
      <c r="D541" s="1268">
        <v>14629496</v>
      </c>
      <c r="E541" s="658" t="s">
        <v>274</v>
      </c>
      <c r="G541" s="703"/>
      <c r="H541" s="703"/>
      <c r="I541" s="704">
        <v>2018</v>
      </c>
      <c r="J541" s="589"/>
      <c r="K541" s="1435" t="s">
        <v>460</v>
      </c>
      <c r="L541" s="1435"/>
      <c r="M541" s="1435"/>
      <c r="N541" s="1435"/>
      <c r="O541" s="1435"/>
    </row>
    <row r="542" spans="1:16">
      <c r="C542" s="702" t="s">
        <v>276</v>
      </c>
      <c r="D542" s="876">
        <v>2016</v>
      </c>
      <c r="E542" s="702" t="s">
        <v>277</v>
      </c>
      <c r="F542" s="703"/>
      <c r="H542" s="334"/>
      <c r="I542" s="879">
        <f>IF(G535="",0,$F$15)</f>
        <v>0</v>
      </c>
      <c r="J542" s="705"/>
      <c r="K542" s="1258" t="s">
        <v>460</v>
      </c>
    </row>
    <row r="543" spans="1:16">
      <c r="C543" s="702" t="s">
        <v>278</v>
      </c>
      <c r="D543" s="1269">
        <v>11</v>
      </c>
      <c r="E543" s="702" t="s">
        <v>279</v>
      </c>
      <c r="F543" s="703"/>
      <c r="H543" s="334"/>
      <c r="I543" s="706">
        <f>$G$70</f>
        <v>0.10790637951024619</v>
      </c>
      <c r="J543" s="707"/>
      <c r="K543" s="334" t="str">
        <f>"          INPUT PROJECTED ARR (WITH &amp; WITHOUT INCENTIVES) FROM EACH PRIOR YEAR"</f>
        <v xml:space="preserve">          INPUT PROJECTED ARR (WITH &amp; WITHOUT INCENTIVES) FROM EACH PRIOR YEAR</v>
      </c>
    </row>
    <row r="544" spans="1:16">
      <c r="C544" s="702" t="s">
        <v>280</v>
      </c>
      <c r="D544" s="708">
        <f>G$79</f>
        <v>59</v>
      </c>
      <c r="E544" s="702" t="s">
        <v>281</v>
      </c>
      <c r="F544" s="703"/>
      <c r="H544" s="334"/>
      <c r="I544" s="706">
        <f>IF(G535="",I543,$G$67)</f>
        <v>0.10790637951024619</v>
      </c>
      <c r="J544" s="709"/>
      <c r="K544" s="334" t="s">
        <v>358</v>
      </c>
    </row>
    <row r="545" spans="1:15" ht="13.5" thickBot="1">
      <c r="C545" s="702" t="s">
        <v>282</v>
      </c>
      <c r="D545" s="878" t="s">
        <v>995</v>
      </c>
      <c r="E545" s="710" t="s">
        <v>283</v>
      </c>
      <c r="F545" s="711"/>
      <c r="G545" s="712"/>
      <c r="H545" s="712"/>
      <c r="I545" s="1267">
        <f>IF(D541=0,0,D541/D544)</f>
        <v>247957.55932203389</v>
      </c>
      <c r="J545" s="1258"/>
      <c r="K545" s="1258" t="s">
        <v>364</v>
      </c>
      <c r="L545" s="1258"/>
      <c r="M545" s="1258"/>
      <c r="N545" s="1258"/>
      <c r="O545" s="591"/>
    </row>
    <row r="546" spans="1:15" ht="51">
      <c r="A546" s="530"/>
      <c r="B546" s="530"/>
      <c r="C546" s="713" t="s">
        <v>273</v>
      </c>
      <c r="D546" s="1270" t="s">
        <v>284</v>
      </c>
      <c r="E546" s="1271" t="s">
        <v>285</v>
      </c>
      <c r="F546" s="1270" t="s">
        <v>286</v>
      </c>
      <c r="G546" s="1271" t="s">
        <v>357</v>
      </c>
      <c r="H546" s="1272" t="s">
        <v>357</v>
      </c>
      <c r="I546" s="713" t="s">
        <v>296</v>
      </c>
      <c r="J546" s="717"/>
      <c r="K546" s="1271" t="s">
        <v>366</v>
      </c>
      <c r="L546" s="1273"/>
      <c r="M546" s="1271" t="s">
        <v>366</v>
      </c>
      <c r="N546" s="1273"/>
      <c r="O546" s="1273"/>
    </row>
    <row r="547" spans="1:15" ht="13.5" thickBot="1">
      <c r="B547" s="334"/>
      <c r="C547" s="719" t="s">
        <v>178</v>
      </c>
      <c r="D547" s="720" t="s">
        <v>179</v>
      </c>
      <c r="E547" s="719" t="s">
        <v>37</v>
      </c>
      <c r="F547" s="720" t="s">
        <v>179</v>
      </c>
      <c r="G547" s="1274" t="s">
        <v>299</v>
      </c>
      <c r="H547" s="1275" t="s">
        <v>301</v>
      </c>
      <c r="I547" s="723" t="s">
        <v>390</v>
      </c>
      <c r="J547" s="724"/>
      <c r="K547" s="1274" t="s">
        <v>288</v>
      </c>
      <c r="L547" s="1276"/>
      <c r="M547" s="1274" t="s">
        <v>301</v>
      </c>
      <c r="N547" s="1276"/>
      <c r="O547" s="1276"/>
    </row>
    <row r="548" spans="1:15">
      <c r="B548" s="334"/>
      <c r="C548" s="725">
        <f>IF(D542= "","-",D542)</f>
        <v>2016</v>
      </c>
      <c r="D548" s="676">
        <f>+D541</f>
        <v>14629496</v>
      </c>
      <c r="E548" s="1277">
        <f>+I545/12*(12-D543)</f>
        <v>20663.129943502823</v>
      </c>
      <c r="F548" s="676">
        <f t="shared" ref="F548:F607" si="30">+D548-E548</f>
        <v>14608832.870056497</v>
      </c>
      <c r="G548" s="1278">
        <f>+$I$543*((D548+F548)/2)+E548</f>
        <v>1598164.2355923548</v>
      </c>
      <c r="H548" s="1279">
        <f>+$I$544*((D548+F548)/2)+E548</f>
        <v>1598164.2355923548</v>
      </c>
      <c r="I548" s="729">
        <f t="shared" ref="I548:I607" si="31">+H548-G548</f>
        <v>0</v>
      </c>
      <c r="J548" s="729"/>
      <c r="K548" s="1300">
        <v>8871246.9461574946</v>
      </c>
      <c r="L548" s="1298"/>
      <c r="M548" s="1301">
        <v>8871246.9461574946</v>
      </c>
      <c r="N548" s="731"/>
      <c r="O548" s="731"/>
    </row>
    <row r="549" spans="1:15">
      <c r="B549" s="334"/>
      <c r="C549" s="725">
        <f>IF(D542="","-",+C548+1)</f>
        <v>2017</v>
      </c>
      <c r="D549" s="1282">
        <f t="shared" ref="D549:D607" si="32">F548</f>
        <v>14608832.870056497</v>
      </c>
      <c r="E549" s="1283">
        <f>IF(D549&gt;$I$545,$I$545,D549)</f>
        <v>247957.55932203389</v>
      </c>
      <c r="F549" s="1282">
        <f t="shared" si="30"/>
        <v>14360875.310734464</v>
      </c>
      <c r="G549" s="1284">
        <f t="shared" ref="G549:G607" si="33">+$I$543*((D549+F549)/2)+E549</f>
        <v>1810965.7219507904</v>
      </c>
      <c r="H549" s="1285">
        <f t="shared" ref="H549:H607" si="34">+$I$544*((D549+F549)/2)+E549</f>
        <v>1810965.7219507904</v>
      </c>
      <c r="I549" s="1291">
        <f t="shared" si="31"/>
        <v>0</v>
      </c>
      <c r="J549" s="729"/>
      <c r="K549" s="881">
        <v>8889734.7657841165</v>
      </c>
      <c r="L549" s="735"/>
      <c r="M549" s="881">
        <v>8889734.7657841165</v>
      </c>
      <c r="N549" s="735"/>
      <c r="O549" s="735"/>
    </row>
    <row r="550" spans="1:15">
      <c r="B550" s="334"/>
      <c r="C550" s="1281">
        <f>IF(D542="","-",+C549+1)</f>
        <v>2018</v>
      </c>
      <c r="D550" s="1282">
        <f t="shared" si="32"/>
        <v>14360875.310734464</v>
      </c>
      <c r="E550" s="1283">
        <f t="shared" ref="E550:E607" si="35">IF(D550&gt;$I$545,$I$545,D550)</f>
        <v>247957.55932203389</v>
      </c>
      <c r="F550" s="1282">
        <f t="shared" si="30"/>
        <v>14112917.751412431</v>
      </c>
      <c r="G550" s="1284">
        <f t="shared" si="33"/>
        <v>1784209.5194521528</v>
      </c>
      <c r="H550" s="1285">
        <f t="shared" si="34"/>
        <v>1784209.5194521528</v>
      </c>
      <c r="I550" s="1291">
        <f t="shared" si="31"/>
        <v>0</v>
      </c>
      <c r="J550" s="729"/>
      <c r="K550" s="1302"/>
      <c r="L550" s="1290"/>
      <c r="M550" s="1302"/>
      <c r="N550" s="735"/>
      <c r="O550" s="735"/>
    </row>
    <row r="551" spans="1:15">
      <c r="B551" s="334"/>
      <c r="C551" s="725">
        <f>IF(D542="","-",+C550+1)</f>
        <v>2019</v>
      </c>
      <c r="D551" s="676">
        <f t="shared" si="32"/>
        <v>14112917.751412431</v>
      </c>
      <c r="E551" s="732">
        <f t="shared" si="35"/>
        <v>247957.55932203389</v>
      </c>
      <c r="F551" s="676">
        <f t="shared" si="30"/>
        <v>13864960.192090398</v>
      </c>
      <c r="G551" s="1277">
        <f t="shared" si="33"/>
        <v>1757453.3169535152</v>
      </c>
      <c r="H551" s="1280">
        <f t="shared" si="34"/>
        <v>1757453.3169535152</v>
      </c>
      <c r="I551" s="729">
        <f t="shared" si="31"/>
        <v>0</v>
      </c>
      <c r="J551" s="729"/>
      <c r="K551" s="881"/>
      <c r="L551" s="735"/>
      <c r="M551" s="881"/>
      <c r="N551" s="735"/>
      <c r="O551" s="735"/>
    </row>
    <row r="552" spans="1:15">
      <c r="B552" s="334"/>
      <c r="C552" s="725">
        <f>IF(D542="","-",+C551+1)</f>
        <v>2020</v>
      </c>
      <c r="D552" s="676">
        <f t="shared" si="32"/>
        <v>13864960.192090398</v>
      </c>
      <c r="E552" s="732">
        <f t="shared" si="35"/>
        <v>247957.55932203389</v>
      </c>
      <c r="F552" s="676">
        <f t="shared" si="30"/>
        <v>13617002.632768365</v>
      </c>
      <c r="G552" s="1277">
        <f t="shared" si="33"/>
        <v>1730697.1144548776</v>
      </c>
      <c r="H552" s="1280">
        <f t="shared" si="34"/>
        <v>1730697.1144548776</v>
      </c>
      <c r="I552" s="729">
        <f t="shared" si="31"/>
        <v>0</v>
      </c>
      <c r="J552" s="729"/>
      <c r="K552" s="881"/>
      <c r="L552" s="735"/>
      <c r="M552" s="881"/>
      <c r="N552" s="735"/>
      <c r="O552" s="735"/>
    </row>
    <row r="553" spans="1:15">
      <c r="B553" s="334"/>
      <c r="C553" s="725">
        <f>IF(D542="","-",+C552+1)</f>
        <v>2021</v>
      </c>
      <c r="D553" s="676">
        <f t="shared" si="32"/>
        <v>13617002.632768365</v>
      </c>
      <c r="E553" s="732">
        <f t="shared" si="35"/>
        <v>247957.55932203389</v>
      </c>
      <c r="F553" s="676">
        <f t="shared" si="30"/>
        <v>13369045.073446332</v>
      </c>
      <c r="G553" s="1277">
        <f t="shared" si="33"/>
        <v>1703940.91195624</v>
      </c>
      <c r="H553" s="1280">
        <f t="shared" si="34"/>
        <v>1703940.91195624</v>
      </c>
      <c r="I553" s="729">
        <f t="shared" si="31"/>
        <v>0</v>
      </c>
      <c r="J553" s="729"/>
      <c r="K553" s="881"/>
      <c r="L553" s="735"/>
      <c r="M553" s="881"/>
      <c r="N553" s="735"/>
      <c r="O553" s="735"/>
    </row>
    <row r="554" spans="1:15">
      <c r="B554" s="334"/>
      <c r="C554" s="725">
        <f>IF(D542="","-",+C553+1)</f>
        <v>2022</v>
      </c>
      <c r="D554" s="676">
        <f t="shared" si="32"/>
        <v>13369045.073446332</v>
      </c>
      <c r="E554" s="732">
        <f t="shared" si="35"/>
        <v>247957.55932203389</v>
      </c>
      <c r="F554" s="676">
        <f t="shared" si="30"/>
        <v>13121087.514124298</v>
      </c>
      <c r="G554" s="1277">
        <f t="shared" si="33"/>
        <v>1677184.7094576019</v>
      </c>
      <c r="H554" s="1280">
        <f t="shared" si="34"/>
        <v>1677184.7094576019</v>
      </c>
      <c r="I554" s="729">
        <f t="shared" si="31"/>
        <v>0</v>
      </c>
      <c r="J554" s="729"/>
      <c r="K554" s="881"/>
      <c r="L554" s="735"/>
      <c r="M554" s="881"/>
      <c r="N554" s="735"/>
      <c r="O554" s="735"/>
    </row>
    <row r="555" spans="1:15">
      <c r="B555" s="334"/>
      <c r="C555" s="725">
        <f>IF(D542="","-",+C554+1)</f>
        <v>2023</v>
      </c>
      <c r="D555" s="676">
        <f t="shared" si="32"/>
        <v>13121087.514124298</v>
      </c>
      <c r="E555" s="732">
        <f t="shared" si="35"/>
        <v>247957.55932203389</v>
      </c>
      <c r="F555" s="676">
        <f t="shared" si="30"/>
        <v>12873129.954802265</v>
      </c>
      <c r="G555" s="1277">
        <f t="shared" si="33"/>
        <v>1650428.5069589643</v>
      </c>
      <c r="H555" s="1280">
        <f t="shared" si="34"/>
        <v>1650428.5069589643</v>
      </c>
      <c r="I555" s="729">
        <f t="shared" si="31"/>
        <v>0</v>
      </c>
      <c r="J555" s="729"/>
      <c r="K555" s="881"/>
      <c r="L555" s="735"/>
      <c r="M555" s="881"/>
      <c r="N555" s="735"/>
      <c r="O555" s="735"/>
    </row>
    <row r="556" spans="1:15">
      <c r="B556" s="334"/>
      <c r="C556" s="725">
        <f>IF(D542="","-",+C555+1)</f>
        <v>2024</v>
      </c>
      <c r="D556" s="676">
        <f t="shared" si="32"/>
        <v>12873129.954802265</v>
      </c>
      <c r="E556" s="732">
        <f t="shared" si="35"/>
        <v>247957.55932203389</v>
      </c>
      <c r="F556" s="676">
        <f t="shared" si="30"/>
        <v>12625172.395480232</v>
      </c>
      <c r="G556" s="1277">
        <f t="shared" si="33"/>
        <v>1623672.3044603267</v>
      </c>
      <c r="H556" s="1280">
        <f t="shared" si="34"/>
        <v>1623672.3044603267</v>
      </c>
      <c r="I556" s="729">
        <f t="shared" si="31"/>
        <v>0</v>
      </c>
      <c r="J556" s="729"/>
      <c r="K556" s="881"/>
      <c r="L556" s="735"/>
      <c r="M556" s="881"/>
      <c r="N556" s="735"/>
      <c r="O556" s="735"/>
    </row>
    <row r="557" spans="1:15">
      <c r="B557" s="334"/>
      <c r="C557" s="725">
        <f>IF(D542="","-",+C556+1)</f>
        <v>2025</v>
      </c>
      <c r="D557" s="676">
        <f t="shared" si="32"/>
        <v>12625172.395480232</v>
      </c>
      <c r="E557" s="732">
        <f t="shared" si="35"/>
        <v>247957.55932203389</v>
      </c>
      <c r="F557" s="676">
        <f t="shared" si="30"/>
        <v>12377214.836158199</v>
      </c>
      <c r="G557" s="1277">
        <f t="shared" si="33"/>
        <v>1596916.1019616891</v>
      </c>
      <c r="H557" s="1280">
        <f t="shared" si="34"/>
        <v>1596916.1019616891</v>
      </c>
      <c r="I557" s="729">
        <f t="shared" si="31"/>
        <v>0</v>
      </c>
      <c r="J557" s="729"/>
      <c r="K557" s="881"/>
      <c r="L557" s="735"/>
      <c r="M557" s="881"/>
      <c r="N557" s="735"/>
      <c r="O557" s="735"/>
    </row>
    <row r="558" spans="1:15">
      <c r="B558" s="334"/>
      <c r="C558" s="725">
        <f>IF(D542="","-",+C557+1)</f>
        <v>2026</v>
      </c>
      <c r="D558" s="676">
        <f t="shared" si="32"/>
        <v>12377214.836158199</v>
      </c>
      <c r="E558" s="732">
        <f t="shared" si="35"/>
        <v>247957.55932203389</v>
      </c>
      <c r="F558" s="676">
        <f t="shared" si="30"/>
        <v>12129257.276836166</v>
      </c>
      <c r="G558" s="1277">
        <f t="shared" si="33"/>
        <v>1570159.8994630515</v>
      </c>
      <c r="H558" s="1280">
        <f t="shared" si="34"/>
        <v>1570159.8994630515</v>
      </c>
      <c r="I558" s="729">
        <f t="shared" si="31"/>
        <v>0</v>
      </c>
      <c r="J558" s="729"/>
      <c r="K558" s="881"/>
      <c r="L558" s="735"/>
      <c r="M558" s="881"/>
      <c r="N558" s="735"/>
      <c r="O558" s="735"/>
    </row>
    <row r="559" spans="1:15">
      <c r="B559" s="334"/>
      <c r="C559" s="725">
        <f>IF(D542="","-",+C558+1)</f>
        <v>2027</v>
      </c>
      <c r="D559" s="676">
        <f t="shared" si="32"/>
        <v>12129257.276836166</v>
      </c>
      <c r="E559" s="732">
        <f t="shared" si="35"/>
        <v>247957.55932203389</v>
      </c>
      <c r="F559" s="676">
        <f t="shared" si="30"/>
        <v>11881299.717514133</v>
      </c>
      <c r="G559" s="1277">
        <f t="shared" si="33"/>
        <v>1543403.6969644134</v>
      </c>
      <c r="H559" s="1280">
        <f t="shared" si="34"/>
        <v>1543403.6969644134</v>
      </c>
      <c r="I559" s="729">
        <f t="shared" si="31"/>
        <v>0</v>
      </c>
      <c r="J559" s="729"/>
      <c r="K559" s="881"/>
      <c r="L559" s="735"/>
      <c r="M559" s="881"/>
      <c r="N559" s="735"/>
      <c r="O559" s="735"/>
    </row>
    <row r="560" spans="1:15">
      <c r="B560" s="334"/>
      <c r="C560" s="725">
        <f>IF(D542="","-",+C559+1)</f>
        <v>2028</v>
      </c>
      <c r="D560" s="676">
        <f t="shared" si="32"/>
        <v>11881299.717514133</v>
      </c>
      <c r="E560" s="732">
        <f t="shared" si="35"/>
        <v>247957.55932203389</v>
      </c>
      <c r="F560" s="676">
        <f t="shared" si="30"/>
        <v>11633342.1581921</v>
      </c>
      <c r="G560" s="1277">
        <f t="shared" si="33"/>
        <v>1516647.4944657758</v>
      </c>
      <c r="H560" s="1280">
        <f t="shared" si="34"/>
        <v>1516647.4944657758</v>
      </c>
      <c r="I560" s="729">
        <f t="shared" si="31"/>
        <v>0</v>
      </c>
      <c r="J560" s="729"/>
      <c r="K560" s="881"/>
      <c r="L560" s="735"/>
      <c r="M560" s="881"/>
      <c r="N560" s="736"/>
      <c r="O560" s="735"/>
    </row>
    <row r="561" spans="2:15">
      <c r="B561" s="334"/>
      <c r="C561" s="725">
        <f>IF(D542="","-",+C560+1)</f>
        <v>2029</v>
      </c>
      <c r="D561" s="676">
        <f t="shared" si="32"/>
        <v>11633342.1581921</v>
      </c>
      <c r="E561" s="732">
        <f t="shared" si="35"/>
        <v>247957.55932203389</v>
      </c>
      <c r="F561" s="676">
        <f t="shared" si="30"/>
        <v>11385384.598870067</v>
      </c>
      <c r="G561" s="1277">
        <f t="shared" si="33"/>
        <v>1489891.2919671382</v>
      </c>
      <c r="H561" s="1280">
        <f t="shared" si="34"/>
        <v>1489891.2919671382</v>
      </c>
      <c r="I561" s="729">
        <f t="shared" si="31"/>
        <v>0</v>
      </c>
      <c r="J561" s="729"/>
      <c r="K561" s="881"/>
      <c r="L561" s="735"/>
      <c r="M561" s="881"/>
      <c r="N561" s="735"/>
      <c r="O561" s="735"/>
    </row>
    <row r="562" spans="2:15">
      <c r="B562" s="334"/>
      <c r="C562" s="725">
        <f>IF(D542="","-",+C561+1)</f>
        <v>2030</v>
      </c>
      <c r="D562" s="676">
        <f t="shared" si="32"/>
        <v>11385384.598870067</v>
      </c>
      <c r="E562" s="732">
        <f t="shared" si="35"/>
        <v>247957.55932203389</v>
      </c>
      <c r="F562" s="676">
        <f t="shared" si="30"/>
        <v>11137427.039548034</v>
      </c>
      <c r="G562" s="1277">
        <f t="shared" si="33"/>
        <v>1463135.0894685006</v>
      </c>
      <c r="H562" s="1280">
        <f t="shared" si="34"/>
        <v>1463135.0894685006</v>
      </c>
      <c r="I562" s="729">
        <f t="shared" si="31"/>
        <v>0</v>
      </c>
      <c r="J562" s="729"/>
      <c r="K562" s="881"/>
      <c r="L562" s="735"/>
      <c r="M562" s="881"/>
      <c r="N562" s="735"/>
      <c r="O562" s="735"/>
    </row>
    <row r="563" spans="2:15">
      <c r="B563" s="334"/>
      <c r="C563" s="725">
        <f>IF(D542="","-",+C562+1)</f>
        <v>2031</v>
      </c>
      <c r="D563" s="676">
        <f t="shared" si="32"/>
        <v>11137427.039548034</v>
      </c>
      <c r="E563" s="732">
        <f t="shared" si="35"/>
        <v>247957.55932203389</v>
      </c>
      <c r="F563" s="676">
        <f t="shared" si="30"/>
        <v>10889469.480226001</v>
      </c>
      <c r="G563" s="1277">
        <f t="shared" si="33"/>
        <v>1436378.886969863</v>
      </c>
      <c r="H563" s="1280">
        <f t="shared" si="34"/>
        <v>1436378.886969863</v>
      </c>
      <c r="I563" s="729">
        <f t="shared" si="31"/>
        <v>0</v>
      </c>
      <c r="J563" s="729"/>
      <c r="K563" s="881"/>
      <c r="L563" s="735"/>
      <c r="M563" s="881"/>
      <c r="N563" s="735"/>
      <c r="O563" s="735"/>
    </row>
    <row r="564" spans="2:15">
      <c r="B564" s="334"/>
      <c r="C564" s="725">
        <f>IF(D542="","-",+C563+1)</f>
        <v>2032</v>
      </c>
      <c r="D564" s="676">
        <f t="shared" si="32"/>
        <v>10889469.480226001</v>
      </c>
      <c r="E564" s="732">
        <f t="shared" si="35"/>
        <v>247957.55932203389</v>
      </c>
      <c r="F564" s="676">
        <f t="shared" si="30"/>
        <v>10641511.920903968</v>
      </c>
      <c r="G564" s="1277">
        <f t="shared" si="33"/>
        <v>1409622.6844712254</v>
      </c>
      <c r="H564" s="1280">
        <f t="shared" si="34"/>
        <v>1409622.6844712254</v>
      </c>
      <c r="I564" s="729">
        <f t="shared" si="31"/>
        <v>0</v>
      </c>
      <c r="J564" s="729"/>
      <c r="K564" s="881"/>
      <c r="L564" s="735"/>
      <c r="M564" s="881"/>
      <c r="N564" s="735"/>
      <c r="O564" s="735"/>
    </row>
    <row r="565" spans="2:15">
      <c r="B565" s="334"/>
      <c r="C565" s="725">
        <f>IF(D542="","-",+C564+1)</f>
        <v>2033</v>
      </c>
      <c r="D565" s="676">
        <f t="shared" si="32"/>
        <v>10641511.920903968</v>
      </c>
      <c r="E565" s="732">
        <f t="shared" si="35"/>
        <v>247957.55932203389</v>
      </c>
      <c r="F565" s="676">
        <f t="shared" si="30"/>
        <v>10393554.361581935</v>
      </c>
      <c r="G565" s="1277">
        <f t="shared" si="33"/>
        <v>1382866.4819725873</v>
      </c>
      <c r="H565" s="1280">
        <f t="shared" si="34"/>
        <v>1382866.4819725873</v>
      </c>
      <c r="I565" s="729">
        <f t="shared" si="31"/>
        <v>0</v>
      </c>
      <c r="J565" s="729"/>
      <c r="K565" s="881"/>
      <c r="L565" s="735"/>
      <c r="M565" s="881"/>
      <c r="N565" s="735"/>
      <c r="O565" s="735"/>
    </row>
    <row r="566" spans="2:15">
      <c r="B566" s="334"/>
      <c r="C566" s="725">
        <f>IF(D542="","-",+C565+1)</f>
        <v>2034</v>
      </c>
      <c r="D566" s="676">
        <f t="shared" si="32"/>
        <v>10393554.361581935</v>
      </c>
      <c r="E566" s="732">
        <f t="shared" si="35"/>
        <v>247957.55932203389</v>
      </c>
      <c r="F566" s="676">
        <f t="shared" si="30"/>
        <v>10145596.802259902</v>
      </c>
      <c r="G566" s="1277">
        <f t="shared" si="33"/>
        <v>1356110.2794739497</v>
      </c>
      <c r="H566" s="1280">
        <f t="shared" si="34"/>
        <v>1356110.2794739497</v>
      </c>
      <c r="I566" s="729">
        <f t="shared" si="31"/>
        <v>0</v>
      </c>
      <c r="J566" s="729"/>
      <c r="K566" s="881"/>
      <c r="L566" s="735"/>
      <c r="M566" s="881"/>
      <c r="N566" s="735"/>
      <c r="O566" s="735"/>
    </row>
    <row r="567" spans="2:15">
      <c r="B567" s="334"/>
      <c r="C567" s="725">
        <f>IF(D542="","-",+C566+1)</f>
        <v>2035</v>
      </c>
      <c r="D567" s="676">
        <f t="shared" si="32"/>
        <v>10145596.802259902</v>
      </c>
      <c r="E567" s="732">
        <f t="shared" si="35"/>
        <v>247957.55932203389</v>
      </c>
      <c r="F567" s="676">
        <f t="shared" si="30"/>
        <v>9897639.2429378685</v>
      </c>
      <c r="G567" s="1277">
        <f t="shared" si="33"/>
        <v>1329354.0769753121</v>
      </c>
      <c r="H567" s="1280">
        <f t="shared" si="34"/>
        <v>1329354.0769753121</v>
      </c>
      <c r="I567" s="729">
        <f t="shared" si="31"/>
        <v>0</v>
      </c>
      <c r="J567" s="729"/>
      <c r="K567" s="881"/>
      <c r="L567" s="735"/>
      <c r="M567" s="881"/>
      <c r="N567" s="735"/>
      <c r="O567" s="735"/>
    </row>
    <row r="568" spans="2:15">
      <c r="B568" s="334"/>
      <c r="C568" s="725">
        <f>IF(D542="","-",+C567+1)</f>
        <v>2036</v>
      </c>
      <c r="D568" s="676">
        <f t="shared" si="32"/>
        <v>9897639.2429378685</v>
      </c>
      <c r="E568" s="732">
        <f t="shared" si="35"/>
        <v>247957.55932203389</v>
      </c>
      <c r="F568" s="676">
        <f t="shared" si="30"/>
        <v>9649681.6836158354</v>
      </c>
      <c r="G568" s="1277">
        <f t="shared" si="33"/>
        <v>1302597.8744766745</v>
      </c>
      <c r="H568" s="1280">
        <f t="shared" si="34"/>
        <v>1302597.8744766745</v>
      </c>
      <c r="I568" s="729">
        <f t="shared" si="31"/>
        <v>0</v>
      </c>
      <c r="J568" s="729"/>
      <c r="K568" s="881"/>
      <c r="L568" s="735"/>
      <c r="M568" s="881"/>
      <c r="N568" s="735"/>
      <c r="O568" s="735"/>
    </row>
    <row r="569" spans="2:15">
      <c r="B569" s="334"/>
      <c r="C569" s="725">
        <f>IF(D542="","-",+C568+1)</f>
        <v>2037</v>
      </c>
      <c r="D569" s="676">
        <f t="shared" si="32"/>
        <v>9649681.6836158354</v>
      </c>
      <c r="E569" s="732">
        <f t="shared" si="35"/>
        <v>247957.55932203389</v>
      </c>
      <c r="F569" s="676">
        <f t="shared" si="30"/>
        <v>9401724.1242938023</v>
      </c>
      <c r="G569" s="1277">
        <f t="shared" si="33"/>
        <v>1275841.6719780369</v>
      </c>
      <c r="H569" s="1280">
        <f t="shared" si="34"/>
        <v>1275841.6719780369</v>
      </c>
      <c r="I569" s="729">
        <f t="shared" si="31"/>
        <v>0</v>
      </c>
      <c r="J569" s="729"/>
      <c r="K569" s="881"/>
      <c r="L569" s="735"/>
      <c r="M569" s="881"/>
      <c r="N569" s="735"/>
      <c r="O569" s="735"/>
    </row>
    <row r="570" spans="2:15">
      <c r="B570" s="334"/>
      <c r="C570" s="725">
        <f>IF(D542="","-",+C569+1)</f>
        <v>2038</v>
      </c>
      <c r="D570" s="676">
        <f t="shared" si="32"/>
        <v>9401724.1242938023</v>
      </c>
      <c r="E570" s="732">
        <f t="shared" si="35"/>
        <v>247957.55932203389</v>
      </c>
      <c r="F570" s="676">
        <f t="shared" si="30"/>
        <v>9153766.5649717692</v>
      </c>
      <c r="G570" s="1277">
        <f t="shared" si="33"/>
        <v>1249085.4694793993</v>
      </c>
      <c r="H570" s="1280">
        <f t="shared" si="34"/>
        <v>1249085.4694793993</v>
      </c>
      <c r="I570" s="729">
        <f t="shared" si="31"/>
        <v>0</v>
      </c>
      <c r="J570" s="729"/>
      <c r="K570" s="881"/>
      <c r="L570" s="735"/>
      <c r="M570" s="881"/>
      <c r="N570" s="735"/>
      <c r="O570" s="735"/>
    </row>
    <row r="571" spans="2:15">
      <c r="B571" s="334"/>
      <c r="C571" s="725">
        <f>IF(D542="","-",+C570+1)</f>
        <v>2039</v>
      </c>
      <c r="D571" s="676">
        <f t="shared" si="32"/>
        <v>9153766.5649717692</v>
      </c>
      <c r="E571" s="732">
        <f t="shared" si="35"/>
        <v>247957.55932203389</v>
      </c>
      <c r="F571" s="676">
        <f t="shared" si="30"/>
        <v>8905809.0056497362</v>
      </c>
      <c r="G571" s="1277">
        <f t="shared" si="33"/>
        <v>1222329.2669807614</v>
      </c>
      <c r="H571" s="1280">
        <f t="shared" si="34"/>
        <v>1222329.2669807614</v>
      </c>
      <c r="I571" s="729">
        <f t="shared" si="31"/>
        <v>0</v>
      </c>
      <c r="J571" s="729"/>
      <c r="K571" s="881"/>
      <c r="L571" s="735"/>
      <c r="M571" s="881"/>
      <c r="N571" s="735"/>
      <c r="O571" s="735"/>
    </row>
    <row r="572" spans="2:15">
      <c r="B572" s="334"/>
      <c r="C572" s="725">
        <f>IF(D542="","-",+C571+1)</f>
        <v>2040</v>
      </c>
      <c r="D572" s="676">
        <f t="shared" si="32"/>
        <v>8905809.0056497362</v>
      </c>
      <c r="E572" s="732">
        <f t="shared" si="35"/>
        <v>247957.55932203389</v>
      </c>
      <c r="F572" s="676">
        <f t="shared" si="30"/>
        <v>8657851.4463277031</v>
      </c>
      <c r="G572" s="1277">
        <f t="shared" si="33"/>
        <v>1195573.0644821236</v>
      </c>
      <c r="H572" s="1280">
        <f t="shared" si="34"/>
        <v>1195573.0644821236</v>
      </c>
      <c r="I572" s="729">
        <f t="shared" si="31"/>
        <v>0</v>
      </c>
      <c r="J572" s="729"/>
      <c r="K572" s="881"/>
      <c r="L572" s="735"/>
      <c r="M572" s="881"/>
      <c r="N572" s="735"/>
      <c r="O572" s="735"/>
    </row>
    <row r="573" spans="2:15">
      <c r="B573" s="334"/>
      <c r="C573" s="725">
        <f>IF(D542="","-",+C572+1)</f>
        <v>2041</v>
      </c>
      <c r="D573" s="676">
        <f t="shared" si="32"/>
        <v>8657851.4463277031</v>
      </c>
      <c r="E573" s="732">
        <f t="shared" si="35"/>
        <v>247957.55932203389</v>
      </c>
      <c r="F573" s="676">
        <f t="shared" si="30"/>
        <v>8409893.88700567</v>
      </c>
      <c r="G573" s="1277">
        <f t="shared" si="33"/>
        <v>1168816.861983486</v>
      </c>
      <c r="H573" s="1280">
        <f t="shared" si="34"/>
        <v>1168816.861983486</v>
      </c>
      <c r="I573" s="729">
        <f t="shared" si="31"/>
        <v>0</v>
      </c>
      <c r="J573" s="729"/>
      <c r="K573" s="881"/>
      <c r="L573" s="735"/>
      <c r="M573" s="881"/>
      <c r="N573" s="735"/>
      <c r="O573" s="735"/>
    </row>
    <row r="574" spans="2:15">
      <c r="B574" s="334"/>
      <c r="C574" s="725">
        <f>IF(D542="","-",+C573+1)</f>
        <v>2042</v>
      </c>
      <c r="D574" s="676">
        <f t="shared" si="32"/>
        <v>8409893.88700567</v>
      </c>
      <c r="E574" s="732">
        <f t="shared" si="35"/>
        <v>247957.55932203389</v>
      </c>
      <c r="F574" s="676">
        <f t="shared" si="30"/>
        <v>8161936.327683636</v>
      </c>
      <c r="G574" s="1277">
        <f t="shared" si="33"/>
        <v>1142060.6594848484</v>
      </c>
      <c r="H574" s="1280">
        <f t="shared" si="34"/>
        <v>1142060.6594848484</v>
      </c>
      <c r="I574" s="729">
        <f t="shared" si="31"/>
        <v>0</v>
      </c>
      <c r="J574" s="729"/>
      <c r="K574" s="881"/>
      <c r="L574" s="735"/>
      <c r="M574" s="881"/>
      <c r="N574" s="735"/>
      <c r="O574" s="735"/>
    </row>
    <row r="575" spans="2:15">
      <c r="B575" s="334"/>
      <c r="C575" s="725">
        <f>IF(D542="","-",+C574+1)</f>
        <v>2043</v>
      </c>
      <c r="D575" s="676">
        <f t="shared" si="32"/>
        <v>8161936.327683636</v>
      </c>
      <c r="E575" s="732">
        <f t="shared" si="35"/>
        <v>247957.55932203389</v>
      </c>
      <c r="F575" s="676">
        <f t="shared" si="30"/>
        <v>7913978.768361602</v>
      </c>
      <c r="G575" s="1277">
        <f t="shared" si="33"/>
        <v>1115304.4569862103</v>
      </c>
      <c r="H575" s="1280">
        <f t="shared" si="34"/>
        <v>1115304.4569862103</v>
      </c>
      <c r="I575" s="729">
        <f t="shared" si="31"/>
        <v>0</v>
      </c>
      <c r="J575" s="729"/>
      <c r="K575" s="881"/>
      <c r="L575" s="735"/>
      <c r="M575" s="881"/>
      <c r="N575" s="735"/>
      <c r="O575" s="735"/>
    </row>
    <row r="576" spans="2:15">
      <c r="B576" s="334"/>
      <c r="C576" s="725">
        <f>IF(D542="","-",+C575+1)</f>
        <v>2044</v>
      </c>
      <c r="D576" s="676">
        <f t="shared" si="32"/>
        <v>7913978.768361602</v>
      </c>
      <c r="E576" s="732">
        <f t="shared" si="35"/>
        <v>247957.55932203389</v>
      </c>
      <c r="F576" s="676">
        <f t="shared" si="30"/>
        <v>7666021.209039568</v>
      </c>
      <c r="G576" s="1286">
        <f t="shared" si="33"/>
        <v>1088548.2544875727</v>
      </c>
      <c r="H576" s="1280">
        <f t="shared" si="34"/>
        <v>1088548.2544875727</v>
      </c>
      <c r="I576" s="729">
        <f t="shared" si="31"/>
        <v>0</v>
      </c>
      <c r="J576" s="729"/>
      <c r="K576" s="881"/>
      <c r="L576" s="735"/>
      <c r="M576" s="881"/>
      <c r="N576" s="735"/>
      <c r="O576" s="735"/>
    </row>
    <row r="577" spans="2:15">
      <c r="B577" s="334"/>
      <c r="C577" s="725">
        <f>IF(D542="","-",+C576+1)</f>
        <v>2045</v>
      </c>
      <c r="D577" s="676">
        <f t="shared" si="32"/>
        <v>7666021.209039568</v>
      </c>
      <c r="E577" s="732">
        <f t="shared" si="35"/>
        <v>247957.55932203389</v>
      </c>
      <c r="F577" s="676">
        <f t="shared" si="30"/>
        <v>7418063.649717534</v>
      </c>
      <c r="G577" s="1277">
        <f t="shared" si="33"/>
        <v>1061792.0519889349</v>
      </c>
      <c r="H577" s="1280">
        <f t="shared" si="34"/>
        <v>1061792.0519889349</v>
      </c>
      <c r="I577" s="729">
        <f t="shared" si="31"/>
        <v>0</v>
      </c>
      <c r="J577" s="729"/>
      <c r="K577" s="881"/>
      <c r="L577" s="735"/>
      <c r="M577" s="881"/>
      <c r="N577" s="735"/>
      <c r="O577" s="735"/>
    </row>
    <row r="578" spans="2:15">
      <c r="B578" s="334"/>
      <c r="C578" s="725">
        <f>IF(D542="","-",+C577+1)</f>
        <v>2046</v>
      </c>
      <c r="D578" s="676">
        <f t="shared" si="32"/>
        <v>7418063.649717534</v>
      </c>
      <c r="E578" s="732">
        <f t="shared" si="35"/>
        <v>247957.55932203389</v>
      </c>
      <c r="F578" s="676">
        <f t="shared" si="30"/>
        <v>7170106.0903955</v>
      </c>
      <c r="G578" s="1277">
        <f t="shared" si="33"/>
        <v>1035035.8494902973</v>
      </c>
      <c r="H578" s="1280">
        <f t="shared" si="34"/>
        <v>1035035.8494902973</v>
      </c>
      <c r="I578" s="729">
        <f t="shared" si="31"/>
        <v>0</v>
      </c>
      <c r="J578" s="729"/>
      <c r="K578" s="881"/>
      <c r="L578" s="735"/>
      <c r="M578" s="881"/>
      <c r="N578" s="735"/>
      <c r="O578" s="735"/>
    </row>
    <row r="579" spans="2:15">
      <c r="B579" s="334"/>
      <c r="C579" s="725">
        <f>IF(D542="","-",+C578+1)</f>
        <v>2047</v>
      </c>
      <c r="D579" s="676">
        <f t="shared" si="32"/>
        <v>7170106.0903955</v>
      </c>
      <c r="E579" s="732">
        <f t="shared" si="35"/>
        <v>247957.55932203389</v>
      </c>
      <c r="F579" s="676">
        <f t="shared" si="30"/>
        <v>6922148.5310734659</v>
      </c>
      <c r="G579" s="1277">
        <f t="shared" si="33"/>
        <v>1008279.6469916593</v>
      </c>
      <c r="H579" s="1280">
        <f t="shared" si="34"/>
        <v>1008279.6469916593</v>
      </c>
      <c r="I579" s="729">
        <f t="shared" si="31"/>
        <v>0</v>
      </c>
      <c r="J579" s="729"/>
      <c r="K579" s="881"/>
      <c r="L579" s="735"/>
      <c r="M579" s="881"/>
      <c r="N579" s="735"/>
      <c r="O579" s="735"/>
    </row>
    <row r="580" spans="2:15">
      <c r="B580" s="334"/>
      <c r="C580" s="725">
        <f>IF(D542="","-",+C579+1)</f>
        <v>2048</v>
      </c>
      <c r="D580" s="676">
        <f t="shared" si="32"/>
        <v>6922148.5310734659</v>
      </c>
      <c r="E580" s="732">
        <f t="shared" si="35"/>
        <v>247957.55932203389</v>
      </c>
      <c r="F580" s="676">
        <f t="shared" si="30"/>
        <v>6674190.9717514319</v>
      </c>
      <c r="G580" s="1277">
        <f t="shared" si="33"/>
        <v>981523.4444930217</v>
      </c>
      <c r="H580" s="1280">
        <f t="shared" si="34"/>
        <v>981523.4444930217</v>
      </c>
      <c r="I580" s="729">
        <f t="shared" si="31"/>
        <v>0</v>
      </c>
      <c r="J580" s="729"/>
      <c r="K580" s="881"/>
      <c r="L580" s="735"/>
      <c r="M580" s="881"/>
      <c r="N580" s="735"/>
      <c r="O580" s="735"/>
    </row>
    <row r="581" spans="2:15">
      <c r="B581" s="334"/>
      <c r="C581" s="725">
        <f>IF(D542="","-",+C580+1)</f>
        <v>2049</v>
      </c>
      <c r="D581" s="676">
        <f t="shared" si="32"/>
        <v>6674190.9717514319</v>
      </c>
      <c r="E581" s="732">
        <f t="shared" si="35"/>
        <v>247957.55932203389</v>
      </c>
      <c r="F581" s="676">
        <f t="shared" si="30"/>
        <v>6426233.4124293979</v>
      </c>
      <c r="G581" s="1277">
        <f t="shared" si="33"/>
        <v>954767.24199438374</v>
      </c>
      <c r="H581" s="1280">
        <f t="shared" si="34"/>
        <v>954767.24199438374</v>
      </c>
      <c r="I581" s="729">
        <f t="shared" si="31"/>
        <v>0</v>
      </c>
      <c r="J581" s="729"/>
      <c r="K581" s="881"/>
      <c r="L581" s="735"/>
      <c r="M581" s="881"/>
      <c r="N581" s="735"/>
      <c r="O581" s="735"/>
    </row>
    <row r="582" spans="2:15">
      <c r="B582" s="334"/>
      <c r="C582" s="725">
        <f>IF(D542="","-",+C581+1)</f>
        <v>2050</v>
      </c>
      <c r="D582" s="676">
        <f t="shared" si="32"/>
        <v>6426233.4124293979</v>
      </c>
      <c r="E582" s="732">
        <f t="shared" si="35"/>
        <v>247957.55932203389</v>
      </c>
      <c r="F582" s="676">
        <f t="shared" si="30"/>
        <v>6178275.8531073639</v>
      </c>
      <c r="G582" s="1277">
        <f t="shared" si="33"/>
        <v>928011.03949574614</v>
      </c>
      <c r="H582" s="1280">
        <f t="shared" si="34"/>
        <v>928011.03949574614</v>
      </c>
      <c r="I582" s="729">
        <f t="shared" si="31"/>
        <v>0</v>
      </c>
      <c r="J582" s="729"/>
      <c r="K582" s="881"/>
      <c r="L582" s="735"/>
      <c r="M582" s="881"/>
      <c r="N582" s="735"/>
      <c r="O582" s="735"/>
    </row>
    <row r="583" spans="2:15">
      <c r="B583" s="334"/>
      <c r="C583" s="725">
        <f>IF(D542="","-",+C582+1)</f>
        <v>2051</v>
      </c>
      <c r="D583" s="676">
        <f t="shared" si="32"/>
        <v>6178275.8531073639</v>
      </c>
      <c r="E583" s="732">
        <f t="shared" si="35"/>
        <v>247957.55932203389</v>
      </c>
      <c r="F583" s="676">
        <f t="shared" si="30"/>
        <v>5930318.2937853299</v>
      </c>
      <c r="G583" s="1277">
        <f t="shared" si="33"/>
        <v>901254.83699710818</v>
      </c>
      <c r="H583" s="1280">
        <f t="shared" si="34"/>
        <v>901254.83699710818</v>
      </c>
      <c r="I583" s="729">
        <f t="shared" si="31"/>
        <v>0</v>
      </c>
      <c r="J583" s="729"/>
      <c r="K583" s="881"/>
      <c r="L583" s="735"/>
      <c r="M583" s="881"/>
      <c r="N583" s="735"/>
      <c r="O583" s="735"/>
    </row>
    <row r="584" spans="2:15">
      <c r="B584" s="334"/>
      <c r="C584" s="725">
        <f>IF(D542="","-",+C583+1)</f>
        <v>2052</v>
      </c>
      <c r="D584" s="676">
        <f t="shared" si="32"/>
        <v>5930318.2937853299</v>
      </c>
      <c r="E584" s="732">
        <f t="shared" si="35"/>
        <v>247957.55932203389</v>
      </c>
      <c r="F584" s="676">
        <f t="shared" si="30"/>
        <v>5682360.7344632959</v>
      </c>
      <c r="G584" s="1277">
        <f t="shared" si="33"/>
        <v>874498.63449847046</v>
      </c>
      <c r="H584" s="1280">
        <f t="shared" si="34"/>
        <v>874498.63449847046</v>
      </c>
      <c r="I584" s="729">
        <f t="shared" si="31"/>
        <v>0</v>
      </c>
      <c r="J584" s="729"/>
      <c r="K584" s="881"/>
      <c r="L584" s="735"/>
      <c r="M584" s="881"/>
      <c r="N584" s="735"/>
      <c r="O584" s="735"/>
    </row>
    <row r="585" spans="2:15">
      <c r="B585" s="334"/>
      <c r="C585" s="725">
        <f>IF(D542="","-",+C584+1)</f>
        <v>2053</v>
      </c>
      <c r="D585" s="676">
        <f t="shared" si="32"/>
        <v>5682360.7344632959</v>
      </c>
      <c r="E585" s="732">
        <f t="shared" si="35"/>
        <v>247957.55932203389</v>
      </c>
      <c r="F585" s="676">
        <f t="shared" si="30"/>
        <v>5434403.1751412619</v>
      </c>
      <c r="G585" s="1277">
        <f t="shared" si="33"/>
        <v>847742.43199983262</v>
      </c>
      <c r="H585" s="1280">
        <f t="shared" si="34"/>
        <v>847742.43199983262</v>
      </c>
      <c r="I585" s="729">
        <f t="shared" si="31"/>
        <v>0</v>
      </c>
      <c r="J585" s="729"/>
      <c r="K585" s="881"/>
      <c r="L585" s="735"/>
      <c r="M585" s="881"/>
      <c r="N585" s="735"/>
      <c r="O585" s="735"/>
    </row>
    <row r="586" spans="2:15">
      <c r="B586" s="334"/>
      <c r="C586" s="725">
        <f>IF(D542="","-",+C585+1)</f>
        <v>2054</v>
      </c>
      <c r="D586" s="676">
        <f t="shared" si="32"/>
        <v>5434403.1751412619</v>
      </c>
      <c r="E586" s="732">
        <f t="shared" si="35"/>
        <v>247957.55932203389</v>
      </c>
      <c r="F586" s="676">
        <f t="shared" si="30"/>
        <v>5186445.6158192279</v>
      </c>
      <c r="G586" s="1277">
        <f t="shared" si="33"/>
        <v>820986.2295011949</v>
      </c>
      <c r="H586" s="1280">
        <f t="shared" si="34"/>
        <v>820986.2295011949</v>
      </c>
      <c r="I586" s="729">
        <f t="shared" si="31"/>
        <v>0</v>
      </c>
      <c r="J586" s="729"/>
      <c r="K586" s="881"/>
      <c r="L586" s="735"/>
      <c r="M586" s="881"/>
      <c r="N586" s="735"/>
      <c r="O586" s="735"/>
    </row>
    <row r="587" spans="2:15">
      <c r="B587" s="334"/>
      <c r="C587" s="725">
        <f>IF(D542="","-",+C586+1)</f>
        <v>2055</v>
      </c>
      <c r="D587" s="676">
        <f t="shared" si="32"/>
        <v>5186445.6158192279</v>
      </c>
      <c r="E587" s="732">
        <f t="shared" si="35"/>
        <v>247957.55932203389</v>
      </c>
      <c r="F587" s="676">
        <f t="shared" si="30"/>
        <v>4938488.0564971939</v>
      </c>
      <c r="G587" s="1277">
        <f t="shared" si="33"/>
        <v>794230.02700255706</v>
      </c>
      <c r="H587" s="1280">
        <f t="shared" si="34"/>
        <v>794230.02700255706</v>
      </c>
      <c r="I587" s="729">
        <f t="shared" si="31"/>
        <v>0</v>
      </c>
      <c r="J587" s="729"/>
      <c r="K587" s="881"/>
      <c r="L587" s="735"/>
      <c r="M587" s="881"/>
      <c r="N587" s="735"/>
      <c r="O587" s="735"/>
    </row>
    <row r="588" spans="2:15">
      <c r="B588" s="334"/>
      <c r="C588" s="725">
        <f>IF(D542="","-",+C587+1)</f>
        <v>2056</v>
      </c>
      <c r="D588" s="676">
        <f t="shared" si="32"/>
        <v>4938488.0564971939</v>
      </c>
      <c r="E588" s="732">
        <f t="shared" si="35"/>
        <v>247957.55932203389</v>
      </c>
      <c r="F588" s="676">
        <f t="shared" si="30"/>
        <v>4690530.4971751599</v>
      </c>
      <c r="G588" s="1277">
        <f t="shared" si="33"/>
        <v>767473.82450391934</v>
      </c>
      <c r="H588" s="1280">
        <f t="shared" si="34"/>
        <v>767473.82450391934</v>
      </c>
      <c r="I588" s="729">
        <f t="shared" si="31"/>
        <v>0</v>
      </c>
      <c r="J588" s="729"/>
      <c r="K588" s="881"/>
      <c r="L588" s="735"/>
      <c r="M588" s="881"/>
      <c r="N588" s="735"/>
      <c r="O588" s="735"/>
    </row>
    <row r="589" spans="2:15">
      <c r="B589" s="334"/>
      <c r="C589" s="725">
        <f>IF(D542="","-",+C588+1)</f>
        <v>2057</v>
      </c>
      <c r="D589" s="676">
        <f t="shared" si="32"/>
        <v>4690530.4971751599</v>
      </c>
      <c r="E589" s="732">
        <f t="shared" si="35"/>
        <v>247957.55932203389</v>
      </c>
      <c r="F589" s="676">
        <f t="shared" si="30"/>
        <v>4442572.9378531259</v>
      </c>
      <c r="G589" s="1277">
        <f t="shared" si="33"/>
        <v>740717.6220052815</v>
      </c>
      <c r="H589" s="1280">
        <f t="shared" si="34"/>
        <v>740717.6220052815</v>
      </c>
      <c r="I589" s="729">
        <f t="shared" si="31"/>
        <v>0</v>
      </c>
      <c r="J589" s="729"/>
      <c r="K589" s="881"/>
      <c r="L589" s="735"/>
      <c r="M589" s="881"/>
      <c r="N589" s="735"/>
      <c r="O589" s="735"/>
    </row>
    <row r="590" spans="2:15">
      <c r="B590" s="334"/>
      <c r="C590" s="725">
        <f>IF(D542="","-",+C589+1)</f>
        <v>2058</v>
      </c>
      <c r="D590" s="676">
        <f t="shared" si="32"/>
        <v>4442572.9378531259</v>
      </c>
      <c r="E590" s="732">
        <f t="shared" si="35"/>
        <v>247957.55932203389</v>
      </c>
      <c r="F590" s="676">
        <f t="shared" si="30"/>
        <v>4194615.3785310918</v>
      </c>
      <c r="G590" s="1277">
        <f t="shared" si="33"/>
        <v>713961.41950664378</v>
      </c>
      <c r="H590" s="1280">
        <f t="shared" si="34"/>
        <v>713961.41950664378</v>
      </c>
      <c r="I590" s="729">
        <f t="shared" si="31"/>
        <v>0</v>
      </c>
      <c r="J590" s="729"/>
      <c r="K590" s="881"/>
      <c r="L590" s="735"/>
      <c r="M590" s="881"/>
      <c r="N590" s="735"/>
      <c r="O590" s="735"/>
    </row>
    <row r="591" spans="2:15">
      <c r="B591" s="334"/>
      <c r="C591" s="725">
        <f>IF(D542="","-",+C590+1)</f>
        <v>2059</v>
      </c>
      <c r="D591" s="676">
        <f t="shared" si="32"/>
        <v>4194615.3785310918</v>
      </c>
      <c r="E591" s="732">
        <f t="shared" si="35"/>
        <v>247957.55932203389</v>
      </c>
      <c r="F591" s="676">
        <f t="shared" si="30"/>
        <v>3946657.8192090578</v>
      </c>
      <c r="G591" s="1277">
        <f t="shared" si="33"/>
        <v>687205.21700800594</v>
      </c>
      <c r="H591" s="1280">
        <f t="shared" si="34"/>
        <v>687205.21700800594</v>
      </c>
      <c r="I591" s="729">
        <f t="shared" si="31"/>
        <v>0</v>
      </c>
      <c r="J591" s="729"/>
      <c r="K591" s="881"/>
      <c r="L591" s="735"/>
      <c r="M591" s="881"/>
      <c r="N591" s="735"/>
      <c r="O591" s="735"/>
    </row>
    <row r="592" spans="2:15">
      <c r="B592" s="334"/>
      <c r="C592" s="725">
        <f>IF(D542="","-",+C591+1)</f>
        <v>2060</v>
      </c>
      <c r="D592" s="676">
        <f t="shared" si="32"/>
        <v>3946657.8192090578</v>
      </c>
      <c r="E592" s="732">
        <f t="shared" si="35"/>
        <v>247957.55932203389</v>
      </c>
      <c r="F592" s="676">
        <f t="shared" si="30"/>
        <v>3698700.2598870238</v>
      </c>
      <c r="G592" s="1277">
        <f t="shared" si="33"/>
        <v>660449.01450936822</v>
      </c>
      <c r="H592" s="1280">
        <f t="shared" si="34"/>
        <v>660449.01450936822</v>
      </c>
      <c r="I592" s="729">
        <f t="shared" si="31"/>
        <v>0</v>
      </c>
      <c r="J592" s="729"/>
      <c r="K592" s="881"/>
      <c r="L592" s="735"/>
      <c r="M592" s="881"/>
      <c r="N592" s="735"/>
      <c r="O592" s="735"/>
    </row>
    <row r="593" spans="2:15">
      <c r="B593" s="334"/>
      <c r="C593" s="725">
        <f>IF(D542="","-",+C592+1)</f>
        <v>2061</v>
      </c>
      <c r="D593" s="676">
        <f t="shared" si="32"/>
        <v>3698700.2598870238</v>
      </c>
      <c r="E593" s="732">
        <f t="shared" si="35"/>
        <v>247957.55932203389</v>
      </c>
      <c r="F593" s="676">
        <f t="shared" si="30"/>
        <v>3450742.7005649898</v>
      </c>
      <c r="G593" s="1277">
        <f t="shared" si="33"/>
        <v>633692.81201073038</v>
      </c>
      <c r="H593" s="1280">
        <f t="shared" si="34"/>
        <v>633692.81201073038</v>
      </c>
      <c r="I593" s="729">
        <f t="shared" si="31"/>
        <v>0</v>
      </c>
      <c r="J593" s="729"/>
      <c r="K593" s="881"/>
      <c r="L593" s="735"/>
      <c r="M593" s="881"/>
      <c r="N593" s="735"/>
      <c r="O593" s="735"/>
    </row>
    <row r="594" spans="2:15">
      <c r="B594" s="334"/>
      <c r="C594" s="725">
        <f>IF(D542="","-",+C593+1)</f>
        <v>2062</v>
      </c>
      <c r="D594" s="676">
        <f t="shared" si="32"/>
        <v>3450742.7005649898</v>
      </c>
      <c r="E594" s="732">
        <f t="shared" si="35"/>
        <v>247957.55932203389</v>
      </c>
      <c r="F594" s="676">
        <f t="shared" si="30"/>
        <v>3202785.1412429558</v>
      </c>
      <c r="G594" s="1277">
        <f t="shared" si="33"/>
        <v>606936.60951209255</v>
      </c>
      <c r="H594" s="1280">
        <f t="shared" si="34"/>
        <v>606936.60951209255</v>
      </c>
      <c r="I594" s="729">
        <f t="shared" si="31"/>
        <v>0</v>
      </c>
      <c r="J594" s="729"/>
      <c r="K594" s="881"/>
      <c r="L594" s="735"/>
      <c r="M594" s="881"/>
      <c r="N594" s="735"/>
      <c r="O594" s="735"/>
    </row>
    <row r="595" spans="2:15">
      <c r="B595" s="334"/>
      <c r="C595" s="725">
        <f>IF(D542="","-",+C594+1)</f>
        <v>2063</v>
      </c>
      <c r="D595" s="676">
        <f t="shared" si="32"/>
        <v>3202785.1412429558</v>
      </c>
      <c r="E595" s="732">
        <f t="shared" si="35"/>
        <v>247957.55932203389</v>
      </c>
      <c r="F595" s="676">
        <f t="shared" si="30"/>
        <v>2954827.5819209218</v>
      </c>
      <c r="G595" s="1277">
        <f t="shared" si="33"/>
        <v>580180.40701345482</v>
      </c>
      <c r="H595" s="1280">
        <f t="shared" si="34"/>
        <v>580180.40701345482</v>
      </c>
      <c r="I595" s="729">
        <f t="shared" si="31"/>
        <v>0</v>
      </c>
      <c r="J595" s="729"/>
      <c r="K595" s="881"/>
      <c r="L595" s="735"/>
      <c r="M595" s="881"/>
      <c r="N595" s="735"/>
      <c r="O595" s="735"/>
    </row>
    <row r="596" spans="2:15">
      <c r="B596" s="334"/>
      <c r="C596" s="725">
        <f>IF(D542="","-",+C595+1)</f>
        <v>2064</v>
      </c>
      <c r="D596" s="676">
        <f t="shared" si="32"/>
        <v>2954827.5819209218</v>
      </c>
      <c r="E596" s="732">
        <f t="shared" si="35"/>
        <v>247957.55932203389</v>
      </c>
      <c r="F596" s="676">
        <f t="shared" si="30"/>
        <v>2706870.0225988878</v>
      </c>
      <c r="G596" s="1277">
        <f t="shared" si="33"/>
        <v>553424.2045148171</v>
      </c>
      <c r="H596" s="1280">
        <f t="shared" si="34"/>
        <v>553424.2045148171</v>
      </c>
      <c r="I596" s="729">
        <f t="shared" si="31"/>
        <v>0</v>
      </c>
      <c r="J596" s="729"/>
      <c r="K596" s="881"/>
      <c r="L596" s="735"/>
      <c r="M596" s="881"/>
      <c r="N596" s="735"/>
      <c r="O596" s="735"/>
    </row>
    <row r="597" spans="2:15">
      <c r="B597" s="334"/>
      <c r="C597" s="725">
        <f>IF(D542="","-",+C596+1)</f>
        <v>2065</v>
      </c>
      <c r="D597" s="676">
        <f t="shared" si="32"/>
        <v>2706870.0225988878</v>
      </c>
      <c r="E597" s="732">
        <f t="shared" si="35"/>
        <v>247957.55932203389</v>
      </c>
      <c r="F597" s="676">
        <f t="shared" si="30"/>
        <v>2458912.4632768538</v>
      </c>
      <c r="G597" s="1277">
        <f t="shared" si="33"/>
        <v>526668.00201617926</v>
      </c>
      <c r="H597" s="1280">
        <f t="shared" si="34"/>
        <v>526668.00201617926</v>
      </c>
      <c r="I597" s="729">
        <f t="shared" si="31"/>
        <v>0</v>
      </c>
      <c r="J597" s="729"/>
      <c r="K597" s="881"/>
      <c r="L597" s="735"/>
      <c r="M597" s="881"/>
      <c r="N597" s="735"/>
      <c r="O597" s="735"/>
    </row>
    <row r="598" spans="2:15">
      <c r="B598" s="334"/>
      <c r="C598" s="725">
        <f>IF(D542="","-",+C597+1)</f>
        <v>2066</v>
      </c>
      <c r="D598" s="676">
        <f t="shared" si="32"/>
        <v>2458912.4632768538</v>
      </c>
      <c r="E598" s="732">
        <f t="shared" si="35"/>
        <v>247957.55932203389</v>
      </c>
      <c r="F598" s="676">
        <f t="shared" si="30"/>
        <v>2210954.9039548198</v>
      </c>
      <c r="G598" s="1277">
        <f t="shared" si="33"/>
        <v>499911.79951754148</v>
      </c>
      <c r="H598" s="1280">
        <f t="shared" si="34"/>
        <v>499911.79951754148</v>
      </c>
      <c r="I598" s="729">
        <f t="shared" si="31"/>
        <v>0</v>
      </c>
      <c r="J598" s="729"/>
      <c r="K598" s="881"/>
      <c r="L598" s="735"/>
      <c r="M598" s="881"/>
      <c r="N598" s="735"/>
      <c r="O598" s="735"/>
    </row>
    <row r="599" spans="2:15">
      <c r="B599" s="334"/>
      <c r="C599" s="725">
        <f>IF(D542="","-",+C598+1)</f>
        <v>2067</v>
      </c>
      <c r="D599" s="676">
        <f t="shared" si="32"/>
        <v>2210954.9039548198</v>
      </c>
      <c r="E599" s="732">
        <f t="shared" si="35"/>
        <v>247957.55932203389</v>
      </c>
      <c r="F599" s="676">
        <f t="shared" si="30"/>
        <v>1962997.3446327858</v>
      </c>
      <c r="G599" s="1277">
        <f t="shared" si="33"/>
        <v>473155.5970189037</v>
      </c>
      <c r="H599" s="1280">
        <f t="shared" si="34"/>
        <v>473155.5970189037</v>
      </c>
      <c r="I599" s="729">
        <f t="shared" si="31"/>
        <v>0</v>
      </c>
      <c r="J599" s="729"/>
      <c r="K599" s="881"/>
      <c r="L599" s="735"/>
      <c r="M599" s="881"/>
      <c r="N599" s="735"/>
      <c r="O599" s="735"/>
    </row>
    <row r="600" spans="2:15">
      <c r="B600" s="334"/>
      <c r="C600" s="725">
        <f>IF(D542="","-",+C599+1)</f>
        <v>2068</v>
      </c>
      <c r="D600" s="676">
        <f t="shared" si="32"/>
        <v>1962997.3446327858</v>
      </c>
      <c r="E600" s="732">
        <f t="shared" si="35"/>
        <v>247957.55932203389</v>
      </c>
      <c r="F600" s="676">
        <f t="shared" si="30"/>
        <v>1715039.7853107518</v>
      </c>
      <c r="G600" s="1277">
        <f t="shared" si="33"/>
        <v>446399.39452026592</v>
      </c>
      <c r="H600" s="1280">
        <f t="shared" si="34"/>
        <v>446399.39452026592</v>
      </c>
      <c r="I600" s="729">
        <f t="shared" si="31"/>
        <v>0</v>
      </c>
      <c r="J600" s="729"/>
      <c r="K600" s="881"/>
      <c r="L600" s="735"/>
      <c r="M600" s="881"/>
      <c r="N600" s="735"/>
      <c r="O600" s="735"/>
    </row>
    <row r="601" spans="2:15">
      <c r="B601" s="334"/>
      <c r="C601" s="725">
        <f>IF(D542="","-",+C600+1)</f>
        <v>2069</v>
      </c>
      <c r="D601" s="676">
        <f t="shared" si="32"/>
        <v>1715039.7853107518</v>
      </c>
      <c r="E601" s="732">
        <f t="shared" si="35"/>
        <v>247957.55932203389</v>
      </c>
      <c r="F601" s="676">
        <f t="shared" si="30"/>
        <v>1467082.2259887177</v>
      </c>
      <c r="G601" s="1277">
        <f t="shared" si="33"/>
        <v>419643.19202162814</v>
      </c>
      <c r="H601" s="1280">
        <f t="shared" si="34"/>
        <v>419643.19202162814</v>
      </c>
      <c r="I601" s="729">
        <f t="shared" si="31"/>
        <v>0</v>
      </c>
      <c r="J601" s="729"/>
      <c r="K601" s="881"/>
      <c r="L601" s="735"/>
      <c r="M601" s="881"/>
      <c r="N601" s="735"/>
      <c r="O601" s="735"/>
    </row>
    <row r="602" spans="2:15">
      <c r="B602" s="334"/>
      <c r="C602" s="725">
        <f>IF(D542="","-",+C601+1)</f>
        <v>2070</v>
      </c>
      <c r="D602" s="676">
        <f t="shared" si="32"/>
        <v>1467082.2259887177</v>
      </c>
      <c r="E602" s="732">
        <f t="shared" si="35"/>
        <v>247957.55932203389</v>
      </c>
      <c r="F602" s="676">
        <f t="shared" si="30"/>
        <v>1219124.6666666837</v>
      </c>
      <c r="G602" s="1277">
        <f t="shared" si="33"/>
        <v>392886.9895229903</v>
      </c>
      <c r="H602" s="1280">
        <f t="shared" si="34"/>
        <v>392886.9895229903</v>
      </c>
      <c r="I602" s="729">
        <f t="shared" si="31"/>
        <v>0</v>
      </c>
      <c r="J602" s="729"/>
      <c r="K602" s="881"/>
      <c r="L602" s="735"/>
      <c r="M602" s="881"/>
      <c r="N602" s="735"/>
      <c r="O602" s="735"/>
    </row>
    <row r="603" spans="2:15">
      <c r="B603" s="334"/>
      <c r="C603" s="725">
        <f>IF(D542="","-",+C602+1)</f>
        <v>2071</v>
      </c>
      <c r="D603" s="676">
        <f t="shared" si="32"/>
        <v>1219124.6666666837</v>
      </c>
      <c r="E603" s="732">
        <f t="shared" si="35"/>
        <v>247957.55932203389</v>
      </c>
      <c r="F603" s="676">
        <f t="shared" si="30"/>
        <v>971167.10734464985</v>
      </c>
      <c r="G603" s="1277">
        <f t="shared" si="33"/>
        <v>366130.78702435258</v>
      </c>
      <c r="H603" s="1280">
        <f t="shared" si="34"/>
        <v>366130.78702435258</v>
      </c>
      <c r="I603" s="729">
        <f t="shared" si="31"/>
        <v>0</v>
      </c>
      <c r="J603" s="729"/>
      <c r="K603" s="881"/>
      <c r="L603" s="735"/>
      <c r="M603" s="881"/>
      <c r="N603" s="735"/>
      <c r="O603" s="735"/>
    </row>
    <row r="604" spans="2:15">
      <c r="B604" s="334"/>
      <c r="C604" s="725">
        <f>IF(D542="","-",+C603+1)</f>
        <v>2072</v>
      </c>
      <c r="D604" s="676">
        <f t="shared" si="32"/>
        <v>971167.10734464985</v>
      </c>
      <c r="E604" s="732">
        <f t="shared" si="35"/>
        <v>247957.55932203389</v>
      </c>
      <c r="F604" s="676">
        <f t="shared" si="30"/>
        <v>723209.54802261596</v>
      </c>
      <c r="G604" s="1277">
        <f t="shared" si="33"/>
        <v>339374.5845257148</v>
      </c>
      <c r="H604" s="1280">
        <f t="shared" si="34"/>
        <v>339374.5845257148</v>
      </c>
      <c r="I604" s="729">
        <f t="shared" si="31"/>
        <v>0</v>
      </c>
      <c r="J604" s="729"/>
      <c r="K604" s="881"/>
      <c r="L604" s="735"/>
      <c r="M604" s="881"/>
      <c r="N604" s="735"/>
      <c r="O604" s="735"/>
    </row>
    <row r="605" spans="2:15">
      <c r="B605" s="334"/>
      <c r="C605" s="725">
        <f>IF(D542="","-",+C604+1)</f>
        <v>2073</v>
      </c>
      <c r="D605" s="676">
        <f t="shared" si="32"/>
        <v>723209.54802261596</v>
      </c>
      <c r="E605" s="732">
        <f t="shared" si="35"/>
        <v>247957.55932203389</v>
      </c>
      <c r="F605" s="676">
        <f t="shared" si="30"/>
        <v>475251.98870058206</v>
      </c>
      <c r="G605" s="1277">
        <f t="shared" si="33"/>
        <v>312618.38202707702</v>
      </c>
      <c r="H605" s="1280">
        <f t="shared" si="34"/>
        <v>312618.38202707702</v>
      </c>
      <c r="I605" s="729">
        <f t="shared" si="31"/>
        <v>0</v>
      </c>
      <c r="J605" s="729"/>
      <c r="K605" s="881"/>
      <c r="L605" s="735"/>
      <c r="M605" s="881"/>
      <c r="N605" s="735"/>
      <c r="O605" s="735"/>
    </row>
    <row r="606" spans="2:15">
      <c r="B606" s="334"/>
      <c r="C606" s="725">
        <f>IF(D542="","-",+C605+1)</f>
        <v>2074</v>
      </c>
      <c r="D606" s="676">
        <f t="shared" si="32"/>
        <v>475251.98870058206</v>
      </c>
      <c r="E606" s="732">
        <f t="shared" si="35"/>
        <v>247957.55932203389</v>
      </c>
      <c r="F606" s="676">
        <f t="shared" si="30"/>
        <v>227294.42937854817</v>
      </c>
      <c r="G606" s="1277">
        <f t="shared" si="33"/>
        <v>285862.17952843924</v>
      </c>
      <c r="H606" s="1280">
        <f t="shared" si="34"/>
        <v>285862.17952843924</v>
      </c>
      <c r="I606" s="729">
        <f t="shared" si="31"/>
        <v>0</v>
      </c>
      <c r="J606" s="729"/>
      <c r="K606" s="881"/>
      <c r="L606" s="735"/>
      <c r="M606" s="881"/>
      <c r="N606" s="735"/>
      <c r="O606" s="735"/>
    </row>
    <row r="607" spans="2:15" ht="13.5" thickBot="1">
      <c r="B607" s="334"/>
      <c r="C607" s="737">
        <f>IF(D542="","-",+C606+1)</f>
        <v>2075</v>
      </c>
      <c r="D607" s="738">
        <f t="shared" si="32"/>
        <v>227294.42937854817</v>
      </c>
      <c r="E607" s="739">
        <f t="shared" si="35"/>
        <v>227294.42937854817</v>
      </c>
      <c r="F607" s="738">
        <f t="shared" si="30"/>
        <v>0</v>
      </c>
      <c r="G607" s="1287">
        <f t="shared" si="33"/>
        <v>239557.68885709142</v>
      </c>
      <c r="H607" s="1287">
        <f t="shared" si="34"/>
        <v>239557.68885709142</v>
      </c>
      <c r="I607" s="741">
        <f t="shared" si="31"/>
        <v>0</v>
      </c>
      <c r="J607" s="729"/>
      <c r="K607" s="882"/>
      <c r="L607" s="743"/>
      <c r="M607" s="882"/>
      <c r="N607" s="743"/>
      <c r="O607" s="743"/>
    </row>
    <row r="608" spans="2:15">
      <c r="B608" s="334"/>
      <c r="C608" s="676" t="s">
        <v>289</v>
      </c>
      <c r="D608" s="1258"/>
      <c r="E608" s="1258">
        <f>SUM(E548:E607)</f>
        <v>14629496</v>
      </c>
      <c r="F608" s="1258"/>
      <c r="G608" s="1258">
        <f>SUM(G548:G607)</f>
        <v>62645731.067347139</v>
      </c>
      <c r="H608" s="1258">
        <f>SUM(H548:H607)</f>
        <v>62645731.067347139</v>
      </c>
      <c r="I608" s="1258">
        <f>SUM(I548:I607)</f>
        <v>0</v>
      </c>
      <c r="J608" s="1258"/>
      <c r="K608" s="1258"/>
      <c r="L608" s="1258"/>
      <c r="M608" s="1258"/>
      <c r="N608" s="1258"/>
      <c r="O608" s="543"/>
    </row>
    <row r="609" spans="1:16">
      <c r="B609" s="334"/>
      <c r="D609" s="566"/>
      <c r="E609" s="543"/>
      <c r="F609" s="543"/>
      <c r="G609" s="543"/>
      <c r="H609" s="1257"/>
      <c r="I609" s="1257"/>
      <c r="J609" s="1258"/>
      <c r="K609" s="1257"/>
      <c r="L609" s="1257"/>
      <c r="M609" s="1257"/>
      <c r="N609" s="1257"/>
      <c r="O609" s="543"/>
    </row>
    <row r="610" spans="1:16">
      <c r="B610" s="334"/>
      <c r="C610" s="543" t="s">
        <v>602</v>
      </c>
      <c r="D610" s="566"/>
      <c r="E610" s="543"/>
      <c r="F610" s="543"/>
      <c r="G610" s="543"/>
      <c r="H610" s="1257"/>
      <c r="I610" s="1257"/>
      <c r="J610" s="1258"/>
      <c r="K610" s="1257"/>
      <c r="L610" s="1257"/>
      <c r="M610" s="1257"/>
      <c r="N610" s="1257"/>
      <c r="O610" s="543"/>
    </row>
    <row r="611" spans="1:16">
      <c r="B611" s="334"/>
      <c r="D611" s="566"/>
      <c r="E611" s="543"/>
      <c r="F611" s="543"/>
      <c r="G611" s="543"/>
      <c r="H611" s="1257"/>
      <c r="I611" s="1257"/>
      <c r="J611" s="1258"/>
      <c r="K611" s="1257"/>
      <c r="L611" s="1257"/>
      <c r="M611" s="1257"/>
      <c r="N611" s="1257"/>
      <c r="O611" s="543"/>
    </row>
    <row r="612" spans="1:16">
      <c r="B612" s="334"/>
      <c r="C612" s="579" t="s">
        <v>603</v>
      </c>
      <c r="D612" s="676"/>
      <c r="E612" s="676"/>
      <c r="F612" s="676"/>
      <c r="G612" s="1258"/>
      <c r="H612" s="1258"/>
      <c r="I612" s="677"/>
      <c r="J612" s="677"/>
      <c r="K612" s="677"/>
      <c r="L612" s="677"/>
      <c r="M612" s="677"/>
      <c r="N612" s="677"/>
      <c r="O612" s="543"/>
    </row>
    <row r="613" spans="1:16">
      <c r="B613" s="334"/>
      <c r="C613" s="579" t="s">
        <v>477</v>
      </c>
      <c r="D613" s="676"/>
      <c r="E613" s="676"/>
      <c r="F613" s="676"/>
      <c r="G613" s="1258"/>
      <c r="H613" s="1258"/>
      <c r="I613" s="677"/>
      <c r="J613" s="677"/>
      <c r="K613" s="677"/>
      <c r="L613" s="677"/>
      <c r="M613" s="677"/>
      <c r="N613" s="677"/>
      <c r="O613" s="543"/>
    </row>
    <row r="614" spans="1:16">
      <c r="B614" s="334"/>
      <c r="C614" s="579" t="s">
        <v>290</v>
      </c>
      <c r="D614" s="676"/>
      <c r="E614" s="676"/>
      <c r="F614" s="676"/>
      <c r="G614" s="1258"/>
      <c r="H614" s="1258"/>
      <c r="I614" s="677"/>
      <c r="J614" s="677"/>
      <c r="K614" s="677"/>
      <c r="L614" s="677"/>
      <c r="M614" s="677"/>
      <c r="N614" s="677"/>
      <c r="O614" s="543"/>
    </row>
    <row r="615" spans="1:16">
      <c r="B615" s="334"/>
      <c r="C615" s="675"/>
      <c r="D615" s="676"/>
      <c r="E615" s="676"/>
      <c r="F615" s="676"/>
      <c r="G615" s="1258"/>
      <c r="H615" s="1258"/>
      <c r="I615" s="677"/>
      <c r="J615" s="677"/>
      <c r="K615" s="677"/>
      <c r="L615" s="677"/>
      <c r="M615" s="677"/>
      <c r="N615" s="677"/>
      <c r="O615" s="543"/>
    </row>
    <row r="616" spans="1:16">
      <c r="B616" s="334"/>
      <c r="C616" s="1436" t="s">
        <v>461</v>
      </c>
      <c r="D616" s="1436"/>
      <c r="E616" s="1436"/>
      <c r="F616" s="1436"/>
      <c r="G616" s="1436"/>
      <c r="H616" s="1436"/>
      <c r="I616" s="1436"/>
      <c r="J616" s="1436"/>
      <c r="K616" s="1436"/>
      <c r="L616" s="1436"/>
      <c r="M616" s="1436"/>
      <c r="N616" s="1436"/>
      <c r="O616" s="1436"/>
    </row>
    <row r="617" spans="1:16">
      <c r="B617" s="334"/>
      <c r="C617" s="1436"/>
      <c r="D617" s="1436"/>
      <c r="E617" s="1436"/>
      <c r="F617" s="1436"/>
      <c r="G617" s="1436"/>
      <c r="H617" s="1436"/>
      <c r="I617" s="1436"/>
      <c r="J617" s="1436"/>
      <c r="K617" s="1436"/>
      <c r="L617" s="1436"/>
      <c r="M617" s="1436"/>
      <c r="N617" s="1436"/>
      <c r="O617" s="1436"/>
    </row>
    <row r="618" spans="1:16" ht="20.25">
      <c r="A618" s="678" t="s">
        <v>993</v>
      </c>
      <c r="B618" s="543"/>
      <c r="C618" s="658"/>
      <c r="D618" s="566"/>
      <c r="E618" s="543"/>
      <c r="F618" s="648"/>
      <c r="G618" s="543"/>
      <c r="H618" s="1257"/>
      <c r="K618" s="679"/>
      <c r="L618" s="679"/>
      <c r="M618" s="679"/>
      <c r="N618" s="594" t="str">
        <f>"Page "&amp;SUM(P$6:P618)&amp;" of "</f>
        <v xml:space="preserve">Page 8 of </v>
      </c>
      <c r="O618" s="595">
        <f>COUNT(P$6:P$59606)</f>
        <v>14</v>
      </c>
      <c r="P618" s="543">
        <v>1</v>
      </c>
    </row>
    <row r="619" spans="1:16">
      <c r="B619" s="543"/>
      <c r="C619" s="543"/>
      <c r="D619" s="566"/>
      <c r="E619" s="543"/>
      <c r="F619" s="543"/>
      <c r="G619" s="543"/>
      <c r="H619" s="1257"/>
      <c r="I619" s="543"/>
      <c r="J619" s="591"/>
      <c r="K619" s="543"/>
      <c r="L619" s="543"/>
      <c r="M619" s="543"/>
      <c r="N619" s="543"/>
      <c r="O619" s="543"/>
    </row>
    <row r="620" spans="1:16" ht="18">
      <c r="B620" s="598" t="s">
        <v>175</v>
      </c>
      <c r="C620" s="680" t="s">
        <v>291</v>
      </c>
      <c r="D620" s="566"/>
      <c r="E620" s="543"/>
      <c r="F620" s="543"/>
      <c r="G620" s="543"/>
      <c r="H620" s="1257"/>
      <c r="I620" s="1257"/>
      <c r="J620" s="1258"/>
      <c r="K620" s="1257"/>
      <c r="L620" s="1257"/>
      <c r="M620" s="1257"/>
      <c r="N620" s="1257"/>
      <c r="O620" s="543"/>
    </row>
    <row r="621" spans="1:16" ht="18.75">
      <c r="B621" s="598"/>
      <c r="C621" s="597"/>
      <c r="D621" s="566"/>
      <c r="E621" s="543"/>
      <c r="F621" s="543"/>
      <c r="G621" s="543"/>
      <c r="H621" s="1257"/>
      <c r="I621" s="1257"/>
      <c r="J621" s="1258"/>
      <c r="K621" s="1257"/>
      <c r="L621" s="1257"/>
      <c r="M621" s="1257"/>
      <c r="N621" s="1257"/>
      <c r="O621" s="543"/>
    </row>
    <row r="622" spans="1:16" ht="18.75">
      <c r="B622" s="598"/>
      <c r="C622" s="597" t="s">
        <v>292</v>
      </c>
      <c r="D622" s="566"/>
      <c r="E622" s="543"/>
      <c r="F622" s="543"/>
      <c r="G622" s="543"/>
      <c r="H622" s="1257"/>
      <c r="I622" s="1257"/>
      <c r="J622" s="1258"/>
      <c r="K622" s="1257"/>
      <c r="L622" s="1257"/>
      <c r="M622" s="1257"/>
      <c r="N622" s="1257"/>
      <c r="O622" s="543"/>
    </row>
    <row r="623" spans="1:16" ht="15.75" thickBot="1">
      <c r="B623" s="334"/>
      <c r="C623" s="400"/>
      <c r="D623" s="566"/>
      <c r="E623" s="543"/>
      <c r="F623" s="543"/>
      <c r="G623" s="543"/>
      <c r="H623" s="1257"/>
      <c r="I623" s="1257"/>
      <c r="J623" s="1258"/>
      <c r="K623" s="1257"/>
      <c r="L623" s="1257"/>
      <c r="M623" s="1257"/>
      <c r="N623" s="1257"/>
      <c r="O623" s="543"/>
    </row>
    <row r="624" spans="1:16" ht="15.75">
      <c r="B624" s="334"/>
      <c r="C624" s="599" t="s">
        <v>293</v>
      </c>
      <c r="D624" s="566"/>
      <c r="E624" s="543"/>
      <c r="F624" s="543"/>
      <c r="G624" s="1259"/>
      <c r="H624" s="543" t="s">
        <v>272</v>
      </c>
      <c r="I624" s="543"/>
      <c r="J624" s="591"/>
      <c r="K624" s="681" t="s">
        <v>297</v>
      </c>
      <c r="L624" s="682"/>
      <c r="M624" s="683"/>
      <c r="N624" s="1260">
        <f>VLOOKUP(I630,C637:O696,5)</f>
        <v>3895567.8684943747</v>
      </c>
      <c r="O624" s="543"/>
    </row>
    <row r="625" spans="1:15" ht="15.75">
      <c r="B625" s="334"/>
      <c r="C625" s="599"/>
      <c r="D625" s="566"/>
      <c r="E625" s="543"/>
      <c r="F625" s="543"/>
      <c r="G625" s="543"/>
      <c r="H625" s="1261"/>
      <c r="I625" s="1261"/>
      <c r="J625" s="1262"/>
      <c r="K625" s="686" t="s">
        <v>298</v>
      </c>
      <c r="L625" s="1263"/>
      <c r="M625" s="591"/>
      <c r="N625" s="1264">
        <f>VLOOKUP(I630,C637:O696,6)</f>
        <v>3895567.8684943747</v>
      </c>
      <c r="O625" s="543"/>
    </row>
    <row r="626" spans="1:15" ht="13.5" thickBot="1">
      <c r="B626" s="334"/>
      <c r="C626" s="687" t="s">
        <v>294</v>
      </c>
      <c r="D626" s="1434" t="s">
        <v>1001</v>
      </c>
      <c r="E626" s="1434"/>
      <c r="F626" s="1434"/>
      <c r="G626" s="1434"/>
      <c r="H626" s="1434"/>
      <c r="I626" s="1257"/>
      <c r="J626" s="1258"/>
      <c r="K626" s="1265" t="s">
        <v>451</v>
      </c>
      <c r="L626" s="1266"/>
      <c r="M626" s="1266"/>
      <c r="N626" s="1267">
        <f>+N625-N624</f>
        <v>0</v>
      </c>
      <c r="O626" s="543"/>
    </row>
    <row r="627" spans="1:15">
      <c r="B627" s="334"/>
      <c r="C627" s="689"/>
      <c r="D627" s="690"/>
      <c r="E627" s="674"/>
      <c r="F627" s="674"/>
      <c r="G627" s="691"/>
      <c r="H627" s="1257"/>
      <c r="I627" s="1257"/>
      <c r="J627" s="1258"/>
      <c r="K627" s="1257"/>
      <c r="L627" s="1257"/>
      <c r="M627" s="1257"/>
      <c r="N627" s="1257"/>
      <c r="O627" s="543"/>
    </row>
    <row r="628" spans="1:15" ht="13.5" thickBot="1">
      <c r="B628" s="334"/>
      <c r="C628" s="692"/>
      <c r="D628" s="693"/>
      <c r="E628" s="691"/>
      <c r="F628" s="691"/>
      <c r="G628" s="691"/>
      <c r="H628" s="691"/>
      <c r="I628" s="691"/>
      <c r="J628" s="694"/>
      <c r="K628" s="691"/>
      <c r="L628" s="691"/>
      <c r="M628" s="691"/>
      <c r="N628" s="691"/>
      <c r="O628" s="579"/>
    </row>
    <row r="629" spans="1:15" ht="13.5" thickBot="1">
      <c r="B629" s="334"/>
      <c r="C629" s="696" t="s">
        <v>295</v>
      </c>
      <c r="D629" s="697"/>
      <c r="E629" s="697"/>
      <c r="F629" s="697"/>
      <c r="G629" s="697"/>
      <c r="H629" s="697"/>
      <c r="I629" s="698"/>
      <c r="J629" s="699"/>
      <c r="K629" s="543"/>
      <c r="L629" s="543"/>
      <c r="M629" s="543"/>
      <c r="N629" s="543"/>
      <c r="O629" s="700"/>
    </row>
    <row r="630" spans="1:15" ht="15">
      <c r="C630" s="702" t="s">
        <v>273</v>
      </c>
      <c r="D630" s="1268">
        <v>31941425</v>
      </c>
      <c r="E630" s="658" t="s">
        <v>274</v>
      </c>
      <c r="G630" s="703"/>
      <c r="H630" s="703"/>
      <c r="I630" s="704">
        <v>2018</v>
      </c>
      <c r="J630" s="589"/>
      <c r="K630" s="1435" t="s">
        <v>460</v>
      </c>
      <c r="L630" s="1435"/>
      <c r="M630" s="1435"/>
      <c r="N630" s="1435"/>
      <c r="O630" s="1435"/>
    </row>
    <row r="631" spans="1:15">
      <c r="C631" s="702" t="s">
        <v>276</v>
      </c>
      <c r="D631" s="876">
        <v>2016</v>
      </c>
      <c r="E631" s="702" t="s">
        <v>277</v>
      </c>
      <c r="F631" s="703"/>
      <c r="H631" s="334"/>
      <c r="I631" s="879">
        <f>IF(G624="",0,$F$15)</f>
        <v>0</v>
      </c>
      <c r="J631" s="705"/>
      <c r="K631" s="1258" t="s">
        <v>460</v>
      </c>
    </row>
    <row r="632" spans="1:15">
      <c r="C632" s="702" t="s">
        <v>278</v>
      </c>
      <c r="D632" s="1269">
        <v>11</v>
      </c>
      <c r="E632" s="702" t="s">
        <v>279</v>
      </c>
      <c r="F632" s="703"/>
      <c r="H632" s="334"/>
      <c r="I632" s="706">
        <f>$G$70</f>
        <v>0.10790637951024619</v>
      </c>
      <c r="J632" s="707"/>
      <c r="K632" s="334" t="str">
        <f>"          INPUT PROJECTED ARR (WITH &amp; WITHOUT INCENTIVES) FROM EACH PRIOR YEAR"</f>
        <v xml:space="preserve">          INPUT PROJECTED ARR (WITH &amp; WITHOUT INCENTIVES) FROM EACH PRIOR YEAR</v>
      </c>
    </row>
    <row r="633" spans="1:15">
      <c r="C633" s="702" t="s">
        <v>280</v>
      </c>
      <c r="D633" s="708">
        <f>G$79</f>
        <v>59</v>
      </c>
      <c r="E633" s="702" t="s">
        <v>281</v>
      </c>
      <c r="F633" s="703"/>
      <c r="H633" s="334"/>
      <c r="I633" s="706">
        <f>IF(G624="",I632,$G$67)</f>
        <v>0.10790637951024619</v>
      </c>
      <c r="J633" s="709"/>
      <c r="K633" s="334" t="s">
        <v>358</v>
      </c>
    </row>
    <row r="634" spans="1:15" ht="13.5" thickBot="1">
      <c r="C634" s="702" t="s">
        <v>282</v>
      </c>
      <c r="D634" s="878" t="s">
        <v>995</v>
      </c>
      <c r="E634" s="710" t="s">
        <v>283</v>
      </c>
      <c r="F634" s="711"/>
      <c r="G634" s="712"/>
      <c r="H634" s="712"/>
      <c r="I634" s="1267">
        <f>IF(D630=0,0,D630/D633)</f>
        <v>541380.08474576275</v>
      </c>
      <c r="J634" s="1258"/>
      <c r="K634" s="1258" t="s">
        <v>364</v>
      </c>
      <c r="L634" s="1258"/>
      <c r="M634" s="1258"/>
      <c r="N634" s="1258"/>
      <c r="O634" s="591"/>
    </row>
    <row r="635" spans="1:15" ht="51">
      <c r="A635" s="530"/>
      <c r="B635" s="530"/>
      <c r="C635" s="713" t="s">
        <v>273</v>
      </c>
      <c r="D635" s="1270" t="s">
        <v>284</v>
      </c>
      <c r="E635" s="1271" t="s">
        <v>285</v>
      </c>
      <c r="F635" s="1270" t="s">
        <v>286</v>
      </c>
      <c r="G635" s="1271" t="s">
        <v>357</v>
      </c>
      <c r="H635" s="1272" t="s">
        <v>357</v>
      </c>
      <c r="I635" s="713" t="s">
        <v>296</v>
      </c>
      <c r="J635" s="717"/>
      <c r="K635" s="1271" t="s">
        <v>366</v>
      </c>
      <c r="L635" s="1273"/>
      <c r="M635" s="1271" t="s">
        <v>366</v>
      </c>
      <c r="N635" s="1273"/>
      <c r="O635" s="1273"/>
    </row>
    <row r="636" spans="1:15" ht="13.5" thickBot="1">
      <c r="B636" s="334"/>
      <c r="C636" s="719" t="s">
        <v>178</v>
      </c>
      <c r="D636" s="720" t="s">
        <v>179</v>
      </c>
      <c r="E636" s="719" t="s">
        <v>37</v>
      </c>
      <c r="F636" s="720" t="s">
        <v>179</v>
      </c>
      <c r="G636" s="1274" t="s">
        <v>299</v>
      </c>
      <c r="H636" s="1275" t="s">
        <v>301</v>
      </c>
      <c r="I636" s="723" t="s">
        <v>390</v>
      </c>
      <c r="J636" s="724"/>
      <c r="K636" s="1274" t="s">
        <v>288</v>
      </c>
      <c r="L636" s="1303"/>
      <c r="M636" s="1274" t="s">
        <v>301</v>
      </c>
      <c r="N636" s="1276"/>
      <c r="O636" s="1276"/>
    </row>
    <row r="637" spans="1:15">
      <c r="B637" s="334"/>
      <c r="C637" s="725">
        <f>IF(D631= "","-",D631)</f>
        <v>2016</v>
      </c>
      <c r="D637" s="676">
        <f>+D630</f>
        <v>31941425</v>
      </c>
      <c r="E637" s="1277">
        <f>+I634/12*(12-D632)</f>
        <v>45115.007062146899</v>
      </c>
      <c r="F637" s="676">
        <f t="shared" ref="F637:F696" si="36">+D637-E637</f>
        <v>31896309.992937852</v>
      </c>
      <c r="G637" s="1278">
        <f>+$I$632*((D637+F637)/2)+E637</f>
        <v>3489364.4366733842</v>
      </c>
      <c r="H637" s="1279">
        <f>+$I$633*((D637+F637)/2)+E637</f>
        <v>3489364.4366733842</v>
      </c>
      <c r="I637" s="729">
        <f t="shared" ref="I637:I696" si="37">+H637-G637</f>
        <v>0</v>
      </c>
      <c r="J637" s="1294"/>
      <c r="K637" s="1295">
        <v>13022465</v>
      </c>
      <c r="L637" s="1298"/>
      <c r="M637" s="1295">
        <v>13022465</v>
      </c>
      <c r="N637" s="1297"/>
      <c r="O637" s="731"/>
    </row>
    <row r="638" spans="1:15">
      <c r="B638" s="334"/>
      <c r="C638" s="725">
        <f>IF(D631="","-",+C637+1)</f>
        <v>2017</v>
      </c>
      <c r="D638" s="676">
        <f t="shared" ref="D638:D696" si="38">F637</f>
        <v>31896309.992937852</v>
      </c>
      <c r="E638" s="732">
        <f>IF(D638&gt;$I$634,$I$634,D638)</f>
        <v>541380.08474576275</v>
      </c>
      <c r="F638" s="676">
        <f t="shared" si="36"/>
        <v>31354929.908192091</v>
      </c>
      <c r="G638" s="1277">
        <f t="shared" ref="G638:G696" si="39">+$I$632*((D638+F638)/2)+E638</f>
        <v>3953986.2333782404</v>
      </c>
      <c r="H638" s="1280">
        <f t="shared" ref="H638:H696" si="40">+$I$633*((D638+F638)/2)+E638</f>
        <v>3953986.2333782404</v>
      </c>
      <c r="I638" s="729">
        <f t="shared" si="37"/>
        <v>0</v>
      </c>
      <c r="J638" s="729"/>
      <c r="K638" s="881">
        <v>3514741.613096768</v>
      </c>
      <c r="L638" s="735"/>
      <c r="M638" s="881">
        <v>3514741.613096768</v>
      </c>
      <c r="N638" s="735"/>
      <c r="O638" s="735"/>
    </row>
    <row r="639" spans="1:15">
      <c r="B639" s="334"/>
      <c r="C639" s="1281">
        <f>IF(D631="","-",+C638+1)</f>
        <v>2018</v>
      </c>
      <c r="D639" s="1282">
        <f t="shared" si="38"/>
        <v>31354929.908192091</v>
      </c>
      <c r="E639" s="1283">
        <f t="shared" ref="E639:E696" si="41">IF(D639&gt;$I$634,$I$634,D639)</f>
        <v>541380.08474576275</v>
      </c>
      <c r="F639" s="1282">
        <f t="shared" si="36"/>
        <v>30813549.82344633</v>
      </c>
      <c r="G639" s="1284">
        <f t="shared" si="39"/>
        <v>3895567.8684943747</v>
      </c>
      <c r="H639" s="1285">
        <f t="shared" si="40"/>
        <v>3895567.8684943747</v>
      </c>
      <c r="I639" s="1291">
        <f t="shared" si="37"/>
        <v>0</v>
      </c>
      <c r="J639" s="729"/>
      <c r="K639" s="1302"/>
      <c r="L639" s="1290"/>
      <c r="M639" s="1302"/>
      <c r="N639" s="735"/>
      <c r="O639" s="735"/>
    </row>
    <row r="640" spans="1:15">
      <c r="B640" s="334"/>
      <c r="C640" s="725">
        <f>IF(D631="","-",+C639+1)</f>
        <v>2019</v>
      </c>
      <c r="D640" s="676">
        <f t="shared" si="38"/>
        <v>30813549.82344633</v>
      </c>
      <c r="E640" s="732">
        <f t="shared" si="41"/>
        <v>541380.08474576275</v>
      </c>
      <c r="F640" s="676">
        <f t="shared" si="36"/>
        <v>30272169.738700569</v>
      </c>
      <c r="G640" s="1277">
        <f t="shared" si="39"/>
        <v>3837149.5036105094</v>
      </c>
      <c r="H640" s="1280">
        <f t="shared" si="40"/>
        <v>3837149.5036105094</v>
      </c>
      <c r="I640" s="729">
        <f t="shared" si="37"/>
        <v>0</v>
      </c>
      <c r="J640" s="729"/>
      <c r="K640" s="881"/>
      <c r="L640" s="735"/>
      <c r="M640" s="881"/>
      <c r="N640" s="735"/>
      <c r="O640" s="735"/>
    </row>
    <row r="641" spans="2:15">
      <c r="B641" s="334"/>
      <c r="C641" s="725">
        <f>IF(D631="","-",+C640+1)</f>
        <v>2020</v>
      </c>
      <c r="D641" s="676">
        <f t="shared" si="38"/>
        <v>30272169.738700569</v>
      </c>
      <c r="E641" s="732">
        <f t="shared" si="41"/>
        <v>541380.08474576275</v>
      </c>
      <c r="F641" s="676">
        <f t="shared" si="36"/>
        <v>29730789.653954808</v>
      </c>
      <c r="G641" s="1277">
        <f t="shared" si="39"/>
        <v>3778731.1387266438</v>
      </c>
      <c r="H641" s="1280">
        <f t="shared" si="40"/>
        <v>3778731.1387266438</v>
      </c>
      <c r="I641" s="729">
        <f t="shared" si="37"/>
        <v>0</v>
      </c>
      <c r="J641" s="729"/>
      <c r="K641" s="881"/>
      <c r="L641" s="735"/>
      <c r="M641" s="881"/>
      <c r="N641" s="735"/>
      <c r="O641" s="735"/>
    </row>
    <row r="642" spans="2:15">
      <c r="B642" s="334"/>
      <c r="C642" s="725">
        <f>IF(D631="","-",+C641+1)</f>
        <v>2021</v>
      </c>
      <c r="D642" s="676">
        <f t="shared" si="38"/>
        <v>29730789.653954808</v>
      </c>
      <c r="E642" s="732">
        <f t="shared" si="41"/>
        <v>541380.08474576275</v>
      </c>
      <c r="F642" s="676">
        <f t="shared" si="36"/>
        <v>29189409.569209047</v>
      </c>
      <c r="G642" s="1277">
        <f t="shared" si="39"/>
        <v>3720312.773842779</v>
      </c>
      <c r="H642" s="1280">
        <f t="shared" si="40"/>
        <v>3720312.773842779</v>
      </c>
      <c r="I642" s="729">
        <f t="shared" si="37"/>
        <v>0</v>
      </c>
      <c r="J642" s="729"/>
      <c r="K642" s="881"/>
      <c r="L642" s="735"/>
      <c r="M642" s="881"/>
      <c r="N642" s="735"/>
      <c r="O642" s="735"/>
    </row>
    <row r="643" spans="2:15">
      <c r="B643" s="334"/>
      <c r="C643" s="725">
        <f>IF(D631="","-",+C642+1)</f>
        <v>2022</v>
      </c>
      <c r="D643" s="676">
        <f t="shared" si="38"/>
        <v>29189409.569209047</v>
      </c>
      <c r="E643" s="732">
        <f t="shared" si="41"/>
        <v>541380.08474576275</v>
      </c>
      <c r="F643" s="676">
        <f t="shared" si="36"/>
        <v>28648029.484463286</v>
      </c>
      <c r="G643" s="1277">
        <f t="shared" si="39"/>
        <v>3661894.4089589133</v>
      </c>
      <c r="H643" s="1280">
        <f t="shared" si="40"/>
        <v>3661894.4089589133</v>
      </c>
      <c r="I643" s="729">
        <f t="shared" si="37"/>
        <v>0</v>
      </c>
      <c r="J643" s="729"/>
      <c r="K643" s="881"/>
      <c r="L643" s="735"/>
      <c r="M643" s="881"/>
      <c r="N643" s="735"/>
      <c r="O643" s="735"/>
    </row>
    <row r="644" spans="2:15">
      <c r="B644" s="334"/>
      <c r="C644" s="725">
        <f>IF(D631="","-",+C643+1)</f>
        <v>2023</v>
      </c>
      <c r="D644" s="676">
        <f t="shared" si="38"/>
        <v>28648029.484463286</v>
      </c>
      <c r="E644" s="732">
        <f t="shared" si="41"/>
        <v>541380.08474576275</v>
      </c>
      <c r="F644" s="676">
        <f t="shared" si="36"/>
        <v>28106649.399717525</v>
      </c>
      <c r="G644" s="1277">
        <f t="shared" si="39"/>
        <v>3603476.0440750481</v>
      </c>
      <c r="H644" s="1280">
        <f t="shared" si="40"/>
        <v>3603476.0440750481</v>
      </c>
      <c r="I644" s="729">
        <f t="shared" si="37"/>
        <v>0</v>
      </c>
      <c r="J644" s="729"/>
      <c r="K644" s="881"/>
      <c r="L644" s="735"/>
      <c r="M644" s="881"/>
      <c r="N644" s="735"/>
      <c r="O644" s="735"/>
    </row>
    <row r="645" spans="2:15">
      <c r="B645" s="334"/>
      <c r="C645" s="725">
        <f>IF(D631="","-",+C644+1)</f>
        <v>2024</v>
      </c>
      <c r="D645" s="676">
        <f t="shared" si="38"/>
        <v>28106649.399717525</v>
      </c>
      <c r="E645" s="732">
        <f t="shared" si="41"/>
        <v>541380.08474576275</v>
      </c>
      <c r="F645" s="676">
        <f t="shared" si="36"/>
        <v>27565269.314971764</v>
      </c>
      <c r="G645" s="1277">
        <f t="shared" si="39"/>
        <v>3545057.6791911824</v>
      </c>
      <c r="H645" s="1280">
        <f t="shared" si="40"/>
        <v>3545057.6791911824</v>
      </c>
      <c r="I645" s="729">
        <f t="shared" si="37"/>
        <v>0</v>
      </c>
      <c r="J645" s="729"/>
      <c r="K645" s="881"/>
      <c r="L645" s="735"/>
      <c r="M645" s="881"/>
      <c r="N645" s="735"/>
      <c r="O645" s="735"/>
    </row>
    <row r="646" spans="2:15">
      <c r="B646" s="334"/>
      <c r="C646" s="725">
        <f>IF(D631="","-",+C645+1)</f>
        <v>2025</v>
      </c>
      <c r="D646" s="676">
        <f t="shared" si="38"/>
        <v>27565269.314971764</v>
      </c>
      <c r="E646" s="732">
        <f t="shared" si="41"/>
        <v>541380.08474576275</v>
      </c>
      <c r="F646" s="676">
        <f t="shared" si="36"/>
        <v>27023889.230226003</v>
      </c>
      <c r="G646" s="1277">
        <f t="shared" si="39"/>
        <v>3486639.3143073176</v>
      </c>
      <c r="H646" s="1280">
        <f t="shared" si="40"/>
        <v>3486639.3143073176</v>
      </c>
      <c r="I646" s="729">
        <f t="shared" si="37"/>
        <v>0</v>
      </c>
      <c r="J646" s="729"/>
      <c r="K646" s="881"/>
      <c r="L646" s="735"/>
      <c r="M646" s="881"/>
      <c r="N646" s="735"/>
      <c r="O646" s="735"/>
    </row>
    <row r="647" spans="2:15">
      <c r="B647" s="334"/>
      <c r="C647" s="725">
        <f>IF(D631="","-",+C646+1)</f>
        <v>2026</v>
      </c>
      <c r="D647" s="676">
        <f t="shared" si="38"/>
        <v>27023889.230226003</v>
      </c>
      <c r="E647" s="732">
        <f t="shared" si="41"/>
        <v>541380.08474576275</v>
      </c>
      <c r="F647" s="676">
        <f t="shared" si="36"/>
        <v>26482509.145480242</v>
      </c>
      <c r="G647" s="1277">
        <f t="shared" si="39"/>
        <v>3428220.9494234519</v>
      </c>
      <c r="H647" s="1280">
        <f t="shared" si="40"/>
        <v>3428220.9494234519</v>
      </c>
      <c r="I647" s="729">
        <f t="shared" si="37"/>
        <v>0</v>
      </c>
      <c r="J647" s="729"/>
      <c r="K647" s="881"/>
      <c r="L647" s="735"/>
      <c r="M647" s="881"/>
      <c r="N647" s="735"/>
      <c r="O647" s="735"/>
    </row>
    <row r="648" spans="2:15">
      <c r="B648" s="334"/>
      <c r="C648" s="725">
        <f>IF(D631="","-",+C647+1)</f>
        <v>2027</v>
      </c>
      <c r="D648" s="676">
        <f t="shared" si="38"/>
        <v>26482509.145480242</v>
      </c>
      <c r="E648" s="732">
        <f t="shared" si="41"/>
        <v>541380.08474576275</v>
      </c>
      <c r="F648" s="676">
        <f t="shared" si="36"/>
        <v>25941129.060734481</v>
      </c>
      <c r="G648" s="1277">
        <f t="shared" si="39"/>
        <v>3369802.5845395867</v>
      </c>
      <c r="H648" s="1280">
        <f t="shared" si="40"/>
        <v>3369802.5845395867</v>
      </c>
      <c r="I648" s="729">
        <f t="shared" si="37"/>
        <v>0</v>
      </c>
      <c r="J648" s="729"/>
      <c r="K648" s="881"/>
      <c r="L648" s="735"/>
      <c r="M648" s="881"/>
      <c r="N648" s="735"/>
      <c r="O648" s="735"/>
    </row>
    <row r="649" spans="2:15">
      <c r="B649" s="334"/>
      <c r="C649" s="725">
        <f>IF(D631="","-",+C648+1)</f>
        <v>2028</v>
      </c>
      <c r="D649" s="676">
        <f t="shared" si="38"/>
        <v>25941129.060734481</v>
      </c>
      <c r="E649" s="732">
        <f t="shared" si="41"/>
        <v>541380.08474576275</v>
      </c>
      <c r="F649" s="676">
        <f t="shared" si="36"/>
        <v>25399748.97598872</v>
      </c>
      <c r="G649" s="1277">
        <f t="shared" si="39"/>
        <v>3311384.219655721</v>
      </c>
      <c r="H649" s="1280">
        <f t="shared" si="40"/>
        <v>3311384.219655721</v>
      </c>
      <c r="I649" s="729">
        <f t="shared" si="37"/>
        <v>0</v>
      </c>
      <c r="J649" s="729"/>
      <c r="K649" s="881"/>
      <c r="L649" s="735"/>
      <c r="M649" s="881"/>
      <c r="N649" s="736"/>
      <c r="O649" s="735"/>
    </row>
    <row r="650" spans="2:15">
      <c r="B650" s="334"/>
      <c r="C650" s="725">
        <f>IF(D631="","-",+C649+1)</f>
        <v>2029</v>
      </c>
      <c r="D650" s="676">
        <f t="shared" si="38"/>
        <v>25399748.97598872</v>
      </c>
      <c r="E650" s="732">
        <f t="shared" si="41"/>
        <v>541380.08474576275</v>
      </c>
      <c r="F650" s="676">
        <f t="shared" si="36"/>
        <v>24858368.891242959</v>
      </c>
      <c r="G650" s="1277">
        <f t="shared" si="39"/>
        <v>3252965.8547718562</v>
      </c>
      <c r="H650" s="1280">
        <f t="shared" si="40"/>
        <v>3252965.8547718562</v>
      </c>
      <c r="I650" s="729">
        <f t="shared" si="37"/>
        <v>0</v>
      </c>
      <c r="J650" s="729"/>
      <c r="K650" s="881"/>
      <c r="L650" s="735"/>
      <c r="M650" s="881"/>
      <c r="N650" s="735"/>
      <c r="O650" s="735"/>
    </row>
    <row r="651" spans="2:15">
      <c r="B651" s="334"/>
      <c r="C651" s="725">
        <f>IF(D631="","-",+C650+1)</f>
        <v>2030</v>
      </c>
      <c r="D651" s="676">
        <f t="shared" si="38"/>
        <v>24858368.891242959</v>
      </c>
      <c r="E651" s="732">
        <f t="shared" si="41"/>
        <v>541380.08474576275</v>
      </c>
      <c r="F651" s="676">
        <f t="shared" si="36"/>
        <v>24316988.806497198</v>
      </c>
      <c r="G651" s="1277">
        <f t="shared" si="39"/>
        <v>3194547.4898879905</v>
      </c>
      <c r="H651" s="1280">
        <f t="shared" si="40"/>
        <v>3194547.4898879905</v>
      </c>
      <c r="I651" s="729">
        <f t="shared" si="37"/>
        <v>0</v>
      </c>
      <c r="J651" s="729"/>
      <c r="K651" s="881"/>
      <c r="L651" s="735"/>
      <c r="M651" s="881"/>
      <c r="N651" s="735"/>
      <c r="O651" s="735"/>
    </row>
    <row r="652" spans="2:15">
      <c r="B652" s="334"/>
      <c r="C652" s="725">
        <f>IF(D631="","-",+C651+1)</f>
        <v>2031</v>
      </c>
      <c r="D652" s="676">
        <f t="shared" si="38"/>
        <v>24316988.806497198</v>
      </c>
      <c r="E652" s="732">
        <f t="shared" si="41"/>
        <v>541380.08474576275</v>
      </c>
      <c r="F652" s="676">
        <f t="shared" si="36"/>
        <v>23775608.721751437</v>
      </c>
      <c r="G652" s="1277">
        <f t="shared" si="39"/>
        <v>3136129.1250041258</v>
      </c>
      <c r="H652" s="1280">
        <f t="shared" si="40"/>
        <v>3136129.1250041258</v>
      </c>
      <c r="I652" s="729">
        <f t="shared" si="37"/>
        <v>0</v>
      </c>
      <c r="J652" s="729"/>
      <c r="K652" s="881"/>
      <c r="L652" s="735"/>
      <c r="M652" s="881"/>
      <c r="N652" s="735"/>
      <c r="O652" s="735"/>
    </row>
    <row r="653" spans="2:15">
      <c r="B653" s="334"/>
      <c r="C653" s="725">
        <f>IF(D631="","-",+C652+1)</f>
        <v>2032</v>
      </c>
      <c r="D653" s="676">
        <f t="shared" si="38"/>
        <v>23775608.721751437</v>
      </c>
      <c r="E653" s="732">
        <f t="shared" si="41"/>
        <v>541380.08474576275</v>
      </c>
      <c r="F653" s="676">
        <f t="shared" si="36"/>
        <v>23234228.637005676</v>
      </c>
      <c r="G653" s="1277">
        <f t="shared" si="39"/>
        <v>3077710.7601202596</v>
      </c>
      <c r="H653" s="1280">
        <f t="shared" si="40"/>
        <v>3077710.7601202596</v>
      </c>
      <c r="I653" s="729">
        <f t="shared" si="37"/>
        <v>0</v>
      </c>
      <c r="J653" s="729"/>
      <c r="K653" s="881"/>
      <c r="L653" s="735"/>
      <c r="M653" s="881"/>
      <c r="N653" s="735"/>
      <c r="O653" s="735"/>
    </row>
    <row r="654" spans="2:15">
      <c r="B654" s="334"/>
      <c r="C654" s="725">
        <f>IF(D631="","-",+C653+1)</f>
        <v>2033</v>
      </c>
      <c r="D654" s="676">
        <f t="shared" si="38"/>
        <v>23234228.637005676</v>
      </c>
      <c r="E654" s="732">
        <f t="shared" si="41"/>
        <v>541380.08474576275</v>
      </c>
      <c r="F654" s="676">
        <f t="shared" si="36"/>
        <v>22692848.552259915</v>
      </c>
      <c r="G654" s="1277">
        <f t="shared" si="39"/>
        <v>3019292.3952363948</v>
      </c>
      <c r="H654" s="1280">
        <f t="shared" si="40"/>
        <v>3019292.3952363948</v>
      </c>
      <c r="I654" s="729">
        <f t="shared" si="37"/>
        <v>0</v>
      </c>
      <c r="J654" s="729"/>
      <c r="K654" s="881"/>
      <c r="L654" s="735"/>
      <c r="M654" s="881"/>
      <c r="N654" s="735"/>
      <c r="O654" s="735"/>
    </row>
    <row r="655" spans="2:15">
      <c r="B655" s="334"/>
      <c r="C655" s="725">
        <f>IF(D631="","-",+C654+1)</f>
        <v>2034</v>
      </c>
      <c r="D655" s="676">
        <f t="shared" si="38"/>
        <v>22692848.552259915</v>
      </c>
      <c r="E655" s="732">
        <f t="shared" si="41"/>
        <v>541380.08474576275</v>
      </c>
      <c r="F655" s="676">
        <f t="shared" si="36"/>
        <v>22151468.467514154</v>
      </c>
      <c r="G655" s="1277">
        <f t="shared" si="39"/>
        <v>2960874.0303525291</v>
      </c>
      <c r="H655" s="1280">
        <f t="shared" si="40"/>
        <v>2960874.0303525291</v>
      </c>
      <c r="I655" s="729">
        <f t="shared" si="37"/>
        <v>0</v>
      </c>
      <c r="J655" s="729"/>
      <c r="K655" s="881"/>
      <c r="L655" s="735"/>
      <c r="M655" s="881"/>
      <c r="N655" s="735"/>
      <c r="O655" s="735"/>
    </row>
    <row r="656" spans="2:15">
      <c r="B656" s="334"/>
      <c r="C656" s="725">
        <f>IF(D631="","-",+C655+1)</f>
        <v>2035</v>
      </c>
      <c r="D656" s="676">
        <f t="shared" si="38"/>
        <v>22151468.467514154</v>
      </c>
      <c r="E656" s="732">
        <f t="shared" si="41"/>
        <v>541380.08474576275</v>
      </c>
      <c r="F656" s="676">
        <f t="shared" si="36"/>
        <v>21610088.382768393</v>
      </c>
      <c r="G656" s="1277">
        <f t="shared" si="39"/>
        <v>2902455.6654686644</v>
      </c>
      <c r="H656" s="1280">
        <f t="shared" si="40"/>
        <v>2902455.6654686644</v>
      </c>
      <c r="I656" s="729">
        <f t="shared" si="37"/>
        <v>0</v>
      </c>
      <c r="J656" s="729"/>
      <c r="K656" s="881"/>
      <c r="L656" s="735"/>
      <c r="M656" s="881"/>
      <c r="N656" s="735"/>
      <c r="O656" s="735"/>
    </row>
    <row r="657" spans="2:15">
      <c r="B657" s="334"/>
      <c r="C657" s="725">
        <f>IF(D631="","-",+C656+1)</f>
        <v>2036</v>
      </c>
      <c r="D657" s="676">
        <f t="shared" si="38"/>
        <v>21610088.382768393</v>
      </c>
      <c r="E657" s="732">
        <f t="shared" si="41"/>
        <v>541380.08474576275</v>
      </c>
      <c r="F657" s="676">
        <f t="shared" si="36"/>
        <v>21068708.298022632</v>
      </c>
      <c r="G657" s="1277">
        <f t="shared" si="39"/>
        <v>2844037.3005847987</v>
      </c>
      <c r="H657" s="1280">
        <f t="shared" si="40"/>
        <v>2844037.3005847987</v>
      </c>
      <c r="I657" s="729">
        <f t="shared" si="37"/>
        <v>0</v>
      </c>
      <c r="J657" s="729"/>
      <c r="K657" s="881"/>
      <c r="L657" s="735"/>
      <c r="M657" s="881"/>
      <c r="N657" s="735"/>
      <c r="O657" s="735"/>
    </row>
    <row r="658" spans="2:15">
      <c r="B658" s="334"/>
      <c r="C658" s="725">
        <f>IF(D631="","-",+C657+1)</f>
        <v>2037</v>
      </c>
      <c r="D658" s="676">
        <f t="shared" si="38"/>
        <v>21068708.298022632</v>
      </c>
      <c r="E658" s="732">
        <f t="shared" si="41"/>
        <v>541380.08474576275</v>
      </c>
      <c r="F658" s="676">
        <f t="shared" si="36"/>
        <v>20527328.213276871</v>
      </c>
      <c r="G658" s="1277">
        <f t="shared" si="39"/>
        <v>2785618.9357009334</v>
      </c>
      <c r="H658" s="1280">
        <f t="shared" si="40"/>
        <v>2785618.9357009334</v>
      </c>
      <c r="I658" s="729">
        <f t="shared" si="37"/>
        <v>0</v>
      </c>
      <c r="J658" s="729"/>
      <c r="K658" s="881"/>
      <c r="L658" s="735"/>
      <c r="M658" s="881"/>
      <c r="N658" s="735"/>
      <c r="O658" s="735"/>
    </row>
    <row r="659" spans="2:15">
      <c r="B659" s="334"/>
      <c r="C659" s="725">
        <f>IF(D631="","-",+C658+1)</f>
        <v>2038</v>
      </c>
      <c r="D659" s="676">
        <f t="shared" si="38"/>
        <v>20527328.213276871</v>
      </c>
      <c r="E659" s="732">
        <f t="shared" si="41"/>
        <v>541380.08474576275</v>
      </c>
      <c r="F659" s="676">
        <f t="shared" si="36"/>
        <v>19985948.12853111</v>
      </c>
      <c r="G659" s="1277">
        <f t="shared" si="39"/>
        <v>2727200.5708170678</v>
      </c>
      <c r="H659" s="1280">
        <f t="shared" si="40"/>
        <v>2727200.5708170678</v>
      </c>
      <c r="I659" s="729">
        <f t="shared" si="37"/>
        <v>0</v>
      </c>
      <c r="J659" s="729"/>
      <c r="K659" s="881"/>
      <c r="L659" s="735"/>
      <c r="M659" s="881"/>
      <c r="N659" s="735"/>
      <c r="O659" s="735"/>
    </row>
    <row r="660" spans="2:15">
      <c r="B660" s="334"/>
      <c r="C660" s="725">
        <f>IF(D631="","-",+C659+1)</f>
        <v>2039</v>
      </c>
      <c r="D660" s="676">
        <f t="shared" si="38"/>
        <v>19985948.12853111</v>
      </c>
      <c r="E660" s="732">
        <f t="shared" si="41"/>
        <v>541380.08474576275</v>
      </c>
      <c r="F660" s="676">
        <f t="shared" si="36"/>
        <v>19444568.043785349</v>
      </c>
      <c r="G660" s="1277">
        <f t="shared" si="39"/>
        <v>2668782.205933203</v>
      </c>
      <c r="H660" s="1280">
        <f t="shared" si="40"/>
        <v>2668782.205933203</v>
      </c>
      <c r="I660" s="729">
        <f t="shared" si="37"/>
        <v>0</v>
      </c>
      <c r="J660" s="729"/>
      <c r="K660" s="881"/>
      <c r="L660" s="735"/>
      <c r="M660" s="881"/>
      <c r="N660" s="735"/>
      <c r="O660" s="735"/>
    </row>
    <row r="661" spans="2:15">
      <c r="B661" s="334"/>
      <c r="C661" s="725">
        <f>IF(D631="","-",+C660+1)</f>
        <v>2040</v>
      </c>
      <c r="D661" s="676">
        <f t="shared" si="38"/>
        <v>19444568.043785349</v>
      </c>
      <c r="E661" s="732">
        <f t="shared" si="41"/>
        <v>541380.08474576275</v>
      </c>
      <c r="F661" s="676">
        <f t="shared" si="36"/>
        <v>18903187.959039588</v>
      </c>
      <c r="G661" s="1277">
        <f t="shared" si="39"/>
        <v>2610363.8410493368</v>
      </c>
      <c r="H661" s="1280">
        <f t="shared" si="40"/>
        <v>2610363.8410493368</v>
      </c>
      <c r="I661" s="729">
        <f t="shared" si="37"/>
        <v>0</v>
      </c>
      <c r="J661" s="729"/>
      <c r="K661" s="881"/>
      <c r="L661" s="735"/>
      <c r="M661" s="881"/>
      <c r="N661" s="735"/>
      <c r="O661" s="735"/>
    </row>
    <row r="662" spans="2:15">
      <c r="B662" s="334"/>
      <c r="C662" s="725">
        <f>IF(D631="","-",+C661+1)</f>
        <v>2041</v>
      </c>
      <c r="D662" s="676">
        <f t="shared" si="38"/>
        <v>18903187.959039588</v>
      </c>
      <c r="E662" s="732">
        <f t="shared" si="41"/>
        <v>541380.08474576275</v>
      </c>
      <c r="F662" s="676">
        <f t="shared" si="36"/>
        <v>18361807.874293827</v>
      </c>
      <c r="G662" s="1277">
        <f t="shared" si="39"/>
        <v>2551945.4761654721</v>
      </c>
      <c r="H662" s="1280">
        <f t="shared" si="40"/>
        <v>2551945.4761654721</v>
      </c>
      <c r="I662" s="729">
        <f t="shared" si="37"/>
        <v>0</v>
      </c>
      <c r="J662" s="729"/>
      <c r="K662" s="881"/>
      <c r="L662" s="735"/>
      <c r="M662" s="881"/>
      <c r="N662" s="735"/>
      <c r="O662" s="735"/>
    </row>
    <row r="663" spans="2:15">
      <c r="B663" s="334"/>
      <c r="C663" s="725">
        <f>IF(D631="","-",+C662+1)</f>
        <v>2042</v>
      </c>
      <c r="D663" s="676">
        <f t="shared" si="38"/>
        <v>18361807.874293827</v>
      </c>
      <c r="E663" s="732">
        <f t="shared" si="41"/>
        <v>541380.08474576275</v>
      </c>
      <c r="F663" s="676">
        <f t="shared" si="36"/>
        <v>17820427.789548066</v>
      </c>
      <c r="G663" s="1277">
        <f t="shared" si="39"/>
        <v>2493527.1112816064</v>
      </c>
      <c r="H663" s="1280">
        <f t="shared" si="40"/>
        <v>2493527.1112816064</v>
      </c>
      <c r="I663" s="729">
        <f t="shared" si="37"/>
        <v>0</v>
      </c>
      <c r="J663" s="729"/>
      <c r="K663" s="881"/>
      <c r="L663" s="735"/>
      <c r="M663" s="881"/>
      <c r="N663" s="735"/>
      <c r="O663" s="735"/>
    </row>
    <row r="664" spans="2:15">
      <c r="B664" s="334"/>
      <c r="C664" s="725">
        <f>IF(D631="","-",+C663+1)</f>
        <v>2043</v>
      </c>
      <c r="D664" s="676">
        <f t="shared" si="38"/>
        <v>17820427.789548066</v>
      </c>
      <c r="E664" s="732">
        <f t="shared" si="41"/>
        <v>541380.08474576275</v>
      </c>
      <c r="F664" s="676">
        <f t="shared" si="36"/>
        <v>17279047.704802305</v>
      </c>
      <c r="G664" s="1277">
        <f t="shared" si="39"/>
        <v>2435108.7463977416</v>
      </c>
      <c r="H664" s="1280">
        <f t="shared" si="40"/>
        <v>2435108.7463977416</v>
      </c>
      <c r="I664" s="729">
        <f t="shared" si="37"/>
        <v>0</v>
      </c>
      <c r="J664" s="729"/>
      <c r="K664" s="881"/>
      <c r="L664" s="735"/>
      <c r="M664" s="881"/>
      <c r="N664" s="735"/>
      <c r="O664" s="735"/>
    </row>
    <row r="665" spans="2:15">
      <c r="B665" s="334"/>
      <c r="C665" s="725">
        <f>IF(D631="","-",+C664+1)</f>
        <v>2044</v>
      </c>
      <c r="D665" s="676">
        <f t="shared" si="38"/>
        <v>17279047.704802305</v>
      </c>
      <c r="E665" s="732">
        <f t="shared" si="41"/>
        <v>541380.08474576275</v>
      </c>
      <c r="F665" s="676">
        <f t="shared" si="36"/>
        <v>16737667.620056542</v>
      </c>
      <c r="G665" s="1286">
        <f t="shared" si="39"/>
        <v>2376690.3815138759</v>
      </c>
      <c r="H665" s="1280">
        <f t="shared" si="40"/>
        <v>2376690.3815138759</v>
      </c>
      <c r="I665" s="729">
        <f t="shared" si="37"/>
        <v>0</v>
      </c>
      <c r="J665" s="729"/>
      <c r="K665" s="881"/>
      <c r="L665" s="735"/>
      <c r="M665" s="881"/>
      <c r="N665" s="735"/>
      <c r="O665" s="735"/>
    </row>
    <row r="666" spans="2:15">
      <c r="B666" s="334"/>
      <c r="C666" s="725">
        <f>IF(D631="","-",+C665+1)</f>
        <v>2045</v>
      </c>
      <c r="D666" s="676">
        <f t="shared" si="38"/>
        <v>16737667.620056542</v>
      </c>
      <c r="E666" s="732">
        <f t="shared" si="41"/>
        <v>541380.08474576275</v>
      </c>
      <c r="F666" s="676">
        <f t="shared" si="36"/>
        <v>16196287.535310779</v>
      </c>
      <c r="G666" s="1277">
        <f t="shared" si="39"/>
        <v>2318272.0166300102</v>
      </c>
      <c r="H666" s="1280">
        <f t="shared" si="40"/>
        <v>2318272.0166300102</v>
      </c>
      <c r="I666" s="729">
        <f t="shared" si="37"/>
        <v>0</v>
      </c>
      <c r="J666" s="729"/>
      <c r="K666" s="881"/>
      <c r="L666" s="735"/>
      <c r="M666" s="881"/>
      <c r="N666" s="735"/>
      <c r="O666" s="735"/>
    </row>
    <row r="667" spans="2:15">
      <c r="B667" s="334"/>
      <c r="C667" s="725">
        <f>IF(D631="","-",+C666+1)</f>
        <v>2046</v>
      </c>
      <c r="D667" s="676">
        <f t="shared" si="38"/>
        <v>16196287.535310779</v>
      </c>
      <c r="E667" s="732">
        <f t="shared" si="41"/>
        <v>541380.08474576275</v>
      </c>
      <c r="F667" s="676">
        <f t="shared" si="36"/>
        <v>15654907.450565016</v>
      </c>
      <c r="G667" s="1277">
        <f t="shared" si="39"/>
        <v>2259853.6517461445</v>
      </c>
      <c r="H667" s="1280">
        <f t="shared" si="40"/>
        <v>2259853.6517461445</v>
      </c>
      <c r="I667" s="729">
        <f t="shared" si="37"/>
        <v>0</v>
      </c>
      <c r="J667" s="729"/>
      <c r="K667" s="881"/>
      <c r="L667" s="735"/>
      <c r="M667" s="881"/>
      <c r="N667" s="735"/>
      <c r="O667" s="735"/>
    </row>
    <row r="668" spans="2:15">
      <c r="B668" s="334"/>
      <c r="C668" s="725">
        <f>IF(D631="","-",+C667+1)</f>
        <v>2047</v>
      </c>
      <c r="D668" s="676">
        <f t="shared" si="38"/>
        <v>15654907.450565016</v>
      </c>
      <c r="E668" s="732">
        <f t="shared" si="41"/>
        <v>541380.08474576275</v>
      </c>
      <c r="F668" s="676">
        <f t="shared" si="36"/>
        <v>15113527.365819253</v>
      </c>
      <c r="G668" s="1277">
        <f t="shared" si="39"/>
        <v>2201435.2868622793</v>
      </c>
      <c r="H668" s="1280">
        <f t="shared" si="40"/>
        <v>2201435.2868622793</v>
      </c>
      <c r="I668" s="729">
        <f t="shared" si="37"/>
        <v>0</v>
      </c>
      <c r="J668" s="729"/>
      <c r="K668" s="881"/>
      <c r="L668" s="735"/>
      <c r="M668" s="881"/>
      <c r="N668" s="735"/>
      <c r="O668" s="735"/>
    </row>
    <row r="669" spans="2:15">
      <c r="B669" s="334"/>
      <c r="C669" s="725">
        <f>IF(D631="","-",+C668+1)</f>
        <v>2048</v>
      </c>
      <c r="D669" s="676">
        <f t="shared" si="38"/>
        <v>15113527.365819253</v>
      </c>
      <c r="E669" s="732">
        <f t="shared" si="41"/>
        <v>541380.08474576275</v>
      </c>
      <c r="F669" s="676">
        <f t="shared" si="36"/>
        <v>14572147.28107349</v>
      </c>
      <c r="G669" s="1277">
        <f t="shared" si="39"/>
        <v>2143016.9219784136</v>
      </c>
      <c r="H669" s="1280">
        <f t="shared" si="40"/>
        <v>2143016.9219784136</v>
      </c>
      <c r="I669" s="729">
        <f t="shared" si="37"/>
        <v>0</v>
      </c>
      <c r="J669" s="729"/>
      <c r="K669" s="881"/>
      <c r="L669" s="735"/>
      <c r="M669" s="881"/>
      <c r="N669" s="735"/>
      <c r="O669" s="735"/>
    </row>
    <row r="670" spans="2:15">
      <c r="B670" s="334"/>
      <c r="C670" s="725">
        <f>IF(D631="","-",+C669+1)</f>
        <v>2049</v>
      </c>
      <c r="D670" s="676">
        <f t="shared" si="38"/>
        <v>14572147.28107349</v>
      </c>
      <c r="E670" s="732">
        <f t="shared" si="41"/>
        <v>541380.08474576275</v>
      </c>
      <c r="F670" s="676">
        <f t="shared" si="36"/>
        <v>14030767.196327727</v>
      </c>
      <c r="G670" s="1277">
        <f t="shared" si="39"/>
        <v>2084598.5570945484</v>
      </c>
      <c r="H670" s="1280">
        <f t="shared" si="40"/>
        <v>2084598.5570945484</v>
      </c>
      <c r="I670" s="729">
        <f t="shared" si="37"/>
        <v>0</v>
      </c>
      <c r="J670" s="729"/>
      <c r="K670" s="881"/>
      <c r="L670" s="735"/>
      <c r="M670" s="881"/>
      <c r="N670" s="735"/>
      <c r="O670" s="735"/>
    </row>
    <row r="671" spans="2:15">
      <c r="B671" s="334"/>
      <c r="C671" s="725">
        <f>IF(D631="","-",+C670+1)</f>
        <v>2050</v>
      </c>
      <c r="D671" s="676">
        <f t="shared" si="38"/>
        <v>14030767.196327727</v>
      </c>
      <c r="E671" s="732">
        <f t="shared" si="41"/>
        <v>541380.08474576275</v>
      </c>
      <c r="F671" s="676">
        <f t="shared" si="36"/>
        <v>13489387.111581964</v>
      </c>
      <c r="G671" s="1277">
        <f t="shared" si="39"/>
        <v>2026180.1922106827</v>
      </c>
      <c r="H671" s="1280">
        <f t="shared" si="40"/>
        <v>2026180.1922106827</v>
      </c>
      <c r="I671" s="729">
        <f t="shared" si="37"/>
        <v>0</v>
      </c>
      <c r="J671" s="729"/>
      <c r="K671" s="881"/>
      <c r="L671" s="735"/>
      <c r="M671" s="881"/>
      <c r="N671" s="735"/>
      <c r="O671" s="735"/>
    </row>
    <row r="672" spans="2:15">
      <c r="B672" s="334"/>
      <c r="C672" s="725">
        <f>IF(D631="","-",+C671+1)</f>
        <v>2051</v>
      </c>
      <c r="D672" s="676">
        <f t="shared" si="38"/>
        <v>13489387.111581964</v>
      </c>
      <c r="E672" s="732">
        <f t="shared" si="41"/>
        <v>541380.08474576275</v>
      </c>
      <c r="F672" s="676">
        <f t="shared" si="36"/>
        <v>12948007.026836202</v>
      </c>
      <c r="G672" s="1277">
        <f t="shared" si="39"/>
        <v>1967761.827326817</v>
      </c>
      <c r="H672" s="1280">
        <f t="shared" si="40"/>
        <v>1967761.827326817</v>
      </c>
      <c r="I672" s="729">
        <f t="shared" si="37"/>
        <v>0</v>
      </c>
      <c r="J672" s="729"/>
      <c r="K672" s="881"/>
      <c r="L672" s="735"/>
      <c r="M672" s="881"/>
      <c r="N672" s="735"/>
      <c r="O672" s="735"/>
    </row>
    <row r="673" spans="2:15">
      <c r="B673" s="334"/>
      <c r="C673" s="725">
        <f>IF(D631="","-",+C672+1)</f>
        <v>2052</v>
      </c>
      <c r="D673" s="676">
        <f t="shared" si="38"/>
        <v>12948007.026836202</v>
      </c>
      <c r="E673" s="732">
        <f t="shared" si="41"/>
        <v>541380.08474576275</v>
      </c>
      <c r="F673" s="676">
        <f t="shared" si="36"/>
        <v>12406626.942090439</v>
      </c>
      <c r="G673" s="1277">
        <f t="shared" si="39"/>
        <v>1909343.4624429513</v>
      </c>
      <c r="H673" s="1280">
        <f t="shared" si="40"/>
        <v>1909343.4624429513</v>
      </c>
      <c r="I673" s="729">
        <f t="shared" si="37"/>
        <v>0</v>
      </c>
      <c r="J673" s="729"/>
      <c r="K673" s="881"/>
      <c r="L673" s="735"/>
      <c r="M673" s="881"/>
      <c r="N673" s="735"/>
      <c r="O673" s="735"/>
    </row>
    <row r="674" spans="2:15">
      <c r="B674" s="334"/>
      <c r="C674" s="725">
        <f>IF(D631="","-",+C673+1)</f>
        <v>2053</v>
      </c>
      <c r="D674" s="676">
        <f t="shared" si="38"/>
        <v>12406626.942090439</v>
      </c>
      <c r="E674" s="732">
        <f t="shared" si="41"/>
        <v>541380.08474576275</v>
      </c>
      <c r="F674" s="676">
        <f t="shared" si="36"/>
        <v>11865246.857344676</v>
      </c>
      <c r="G674" s="1277">
        <f t="shared" si="39"/>
        <v>1850925.097559086</v>
      </c>
      <c r="H674" s="1280">
        <f t="shared" si="40"/>
        <v>1850925.097559086</v>
      </c>
      <c r="I674" s="729">
        <f t="shared" si="37"/>
        <v>0</v>
      </c>
      <c r="J674" s="729"/>
      <c r="K674" s="881"/>
      <c r="L674" s="735"/>
      <c r="M674" s="881"/>
      <c r="N674" s="735"/>
      <c r="O674" s="735"/>
    </row>
    <row r="675" spans="2:15">
      <c r="B675" s="334"/>
      <c r="C675" s="725">
        <f>IF(D631="","-",+C674+1)</f>
        <v>2054</v>
      </c>
      <c r="D675" s="676">
        <f t="shared" si="38"/>
        <v>11865246.857344676</v>
      </c>
      <c r="E675" s="732">
        <f t="shared" si="41"/>
        <v>541380.08474576275</v>
      </c>
      <c r="F675" s="676">
        <f t="shared" si="36"/>
        <v>11323866.772598913</v>
      </c>
      <c r="G675" s="1277">
        <f t="shared" si="39"/>
        <v>1792506.7326752204</v>
      </c>
      <c r="H675" s="1280">
        <f t="shared" si="40"/>
        <v>1792506.7326752204</v>
      </c>
      <c r="I675" s="729">
        <f t="shared" si="37"/>
        <v>0</v>
      </c>
      <c r="J675" s="729"/>
      <c r="K675" s="881"/>
      <c r="L675" s="735"/>
      <c r="M675" s="881"/>
      <c r="N675" s="735"/>
      <c r="O675" s="735"/>
    </row>
    <row r="676" spans="2:15">
      <c r="B676" s="334"/>
      <c r="C676" s="725">
        <f>IF(D631="","-",+C675+1)</f>
        <v>2055</v>
      </c>
      <c r="D676" s="676">
        <f t="shared" si="38"/>
        <v>11323866.772598913</v>
      </c>
      <c r="E676" s="732">
        <f t="shared" si="41"/>
        <v>541380.08474576275</v>
      </c>
      <c r="F676" s="676">
        <f t="shared" si="36"/>
        <v>10782486.68785315</v>
      </c>
      <c r="G676" s="1277">
        <f t="shared" si="39"/>
        <v>1734088.3677913551</v>
      </c>
      <c r="H676" s="1280">
        <f t="shared" si="40"/>
        <v>1734088.3677913551</v>
      </c>
      <c r="I676" s="729">
        <f t="shared" si="37"/>
        <v>0</v>
      </c>
      <c r="J676" s="729"/>
      <c r="K676" s="881"/>
      <c r="L676" s="735"/>
      <c r="M676" s="881"/>
      <c r="N676" s="735"/>
      <c r="O676" s="735"/>
    </row>
    <row r="677" spans="2:15">
      <c r="B677" s="334"/>
      <c r="C677" s="725">
        <f>IF(D631="","-",+C676+1)</f>
        <v>2056</v>
      </c>
      <c r="D677" s="676">
        <f t="shared" si="38"/>
        <v>10782486.68785315</v>
      </c>
      <c r="E677" s="732">
        <f t="shared" si="41"/>
        <v>541380.08474576275</v>
      </c>
      <c r="F677" s="676">
        <f t="shared" si="36"/>
        <v>10241106.603107387</v>
      </c>
      <c r="G677" s="1277">
        <f t="shared" si="39"/>
        <v>1675670.0029074894</v>
      </c>
      <c r="H677" s="1280">
        <f t="shared" si="40"/>
        <v>1675670.0029074894</v>
      </c>
      <c r="I677" s="729">
        <f t="shared" si="37"/>
        <v>0</v>
      </c>
      <c r="J677" s="729"/>
      <c r="K677" s="881"/>
      <c r="L677" s="735"/>
      <c r="M677" s="881"/>
      <c r="N677" s="735"/>
      <c r="O677" s="735"/>
    </row>
    <row r="678" spans="2:15">
      <c r="B678" s="334"/>
      <c r="C678" s="725">
        <f>IF(D631="","-",+C677+1)</f>
        <v>2057</v>
      </c>
      <c r="D678" s="676">
        <f t="shared" si="38"/>
        <v>10241106.603107387</v>
      </c>
      <c r="E678" s="732">
        <f t="shared" si="41"/>
        <v>541380.08474576275</v>
      </c>
      <c r="F678" s="676">
        <f t="shared" si="36"/>
        <v>9699726.5183616243</v>
      </c>
      <c r="G678" s="1277">
        <f t="shared" si="39"/>
        <v>1617251.6380236242</v>
      </c>
      <c r="H678" s="1280">
        <f t="shared" si="40"/>
        <v>1617251.6380236242</v>
      </c>
      <c r="I678" s="729">
        <f t="shared" si="37"/>
        <v>0</v>
      </c>
      <c r="J678" s="729"/>
      <c r="K678" s="881"/>
      <c r="L678" s="735"/>
      <c r="M678" s="881"/>
      <c r="N678" s="735"/>
      <c r="O678" s="735"/>
    </row>
    <row r="679" spans="2:15">
      <c r="B679" s="334"/>
      <c r="C679" s="725">
        <f>IF(D631="","-",+C678+1)</f>
        <v>2058</v>
      </c>
      <c r="D679" s="676">
        <f t="shared" si="38"/>
        <v>9699726.5183616243</v>
      </c>
      <c r="E679" s="732">
        <f t="shared" si="41"/>
        <v>541380.08474576275</v>
      </c>
      <c r="F679" s="676">
        <f t="shared" si="36"/>
        <v>9158346.4336158615</v>
      </c>
      <c r="G679" s="1277">
        <f t="shared" si="39"/>
        <v>1558833.2731397583</v>
      </c>
      <c r="H679" s="1280">
        <f t="shared" si="40"/>
        <v>1558833.2731397583</v>
      </c>
      <c r="I679" s="729">
        <f t="shared" si="37"/>
        <v>0</v>
      </c>
      <c r="J679" s="729"/>
      <c r="K679" s="881"/>
      <c r="L679" s="735"/>
      <c r="M679" s="881"/>
      <c r="N679" s="735"/>
      <c r="O679" s="735"/>
    </row>
    <row r="680" spans="2:15">
      <c r="B680" s="334"/>
      <c r="C680" s="725">
        <f>IF(D631="","-",+C679+1)</f>
        <v>2059</v>
      </c>
      <c r="D680" s="676">
        <f t="shared" si="38"/>
        <v>9158346.4336158615</v>
      </c>
      <c r="E680" s="732">
        <f t="shared" si="41"/>
        <v>541380.08474576275</v>
      </c>
      <c r="F680" s="676">
        <f t="shared" si="36"/>
        <v>8616966.3488700986</v>
      </c>
      <c r="G680" s="1277">
        <f t="shared" si="39"/>
        <v>1500414.9082558928</v>
      </c>
      <c r="H680" s="1280">
        <f t="shared" si="40"/>
        <v>1500414.9082558928</v>
      </c>
      <c r="I680" s="729">
        <f t="shared" si="37"/>
        <v>0</v>
      </c>
      <c r="J680" s="729"/>
      <c r="K680" s="881"/>
      <c r="L680" s="735"/>
      <c r="M680" s="881"/>
      <c r="N680" s="735"/>
      <c r="O680" s="735"/>
    </row>
    <row r="681" spans="2:15">
      <c r="B681" s="334"/>
      <c r="C681" s="725">
        <f>IF(D631="","-",+C680+1)</f>
        <v>2060</v>
      </c>
      <c r="D681" s="676">
        <f t="shared" si="38"/>
        <v>8616966.3488700986</v>
      </c>
      <c r="E681" s="732">
        <f t="shared" si="41"/>
        <v>541380.08474576275</v>
      </c>
      <c r="F681" s="676">
        <f t="shared" si="36"/>
        <v>8075586.2641243357</v>
      </c>
      <c r="G681" s="1277">
        <f t="shared" si="39"/>
        <v>1441996.5433720273</v>
      </c>
      <c r="H681" s="1280">
        <f t="shared" si="40"/>
        <v>1441996.5433720273</v>
      </c>
      <c r="I681" s="729">
        <f t="shared" si="37"/>
        <v>0</v>
      </c>
      <c r="J681" s="729"/>
      <c r="K681" s="881"/>
      <c r="L681" s="735"/>
      <c r="M681" s="881"/>
      <c r="N681" s="735"/>
      <c r="O681" s="735"/>
    </row>
    <row r="682" spans="2:15">
      <c r="B682" s="334"/>
      <c r="C682" s="725">
        <f>IF(D631="","-",+C681+1)</f>
        <v>2061</v>
      </c>
      <c r="D682" s="676">
        <f t="shared" si="38"/>
        <v>8075586.2641243357</v>
      </c>
      <c r="E682" s="732">
        <f t="shared" si="41"/>
        <v>541380.08474576275</v>
      </c>
      <c r="F682" s="676">
        <f t="shared" si="36"/>
        <v>7534206.1793785729</v>
      </c>
      <c r="G682" s="1277">
        <f t="shared" si="39"/>
        <v>1383578.1784881619</v>
      </c>
      <c r="H682" s="1280">
        <f t="shared" si="40"/>
        <v>1383578.1784881619</v>
      </c>
      <c r="I682" s="729">
        <f t="shared" si="37"/>
        <v>0</v>
      </c>
      <c r="J682" s="729"/>
      <c r="K682" s="881"/>
      <c r="L682" s="735"/>
      <c r="M682" s="881"/>
      <c r="N682" s="735"/>
      <c r="O682" s="735"/>
    </row>
    <row r="683" spans="2:15">
      <c r="B683" s="334"/>
      <c r="C683" s="725">
        <f>IF(D631="","-",+C682+1)</f>
        <v>2062</v>
      </c>
      <c r="D683" s="676">
        <f t="shared" si="38"/>
        <v>7534206.1793785729</v>
      </c>
      <c r="E683" s="732">
        <f t="shared" si="41"/>
        <v>541380.08474576275</v>
      </c>
      <c r="F683" s="676">
        <f t="shared" si="36"/>
        <v>6992826.09463281</v>
      </c>
      <c r="G683" s="1277">
        <f t="shared" si="39"/>
        <v>1325159.8136042962</v>
      </c>
      <c r="H683" s="1280">
        <f t="shared" si="40"/>
        <v>1325159.8136042962</v>
      </c>
      <c r="I683" s="729">
        <f t="shared" si="37"/>
        <v>0</v>
      </c>
      <c r="J683" s="729"/>
      <c r="K683" s="881"/>
      <c r="L683" s="735"/>
      <c r="M683" s="881"/>
      <c r="N683" s="735"/>
      <c r="O683" s="735"/>
    </row>
    <row r="684" spans="2:15">
      <c r="B684" s="334"/>
      <c r="C684" s="725">
        <f>IF(D631="","-",+C683+1)</f>
        <v>2063</v>
      </c>
      <c r="D684" s="676">
        <f t="shared" si="38"/>
        <v>6992826.09463281</v>
      </c>
      <c r="E684" s="732">
        <f t="shared" si="41"/>
        <v>541380.08474576275</v>
      </c>
      <c r="F684" s="676">
        <f t="shared" si="36"/>
        <v>6451446.0098870471</v>
      </c>
      <c r="G684" s="1277">
        <f t="shared" si="39"/>
        <v>1266741.4487204307</v>
      </c>
      <c r="H684" s="1280">
        <f t="shared" si="40"/>
        <v>1266741.4487204307</v>
      </c>
      <c r="I684" s="729">
        <f t="shared" si="37"/>
        <v>0</v>
      </c>
      <c r="J684" s="729"/>
      <c r="K684" s="881"/>
      <c r="L684" s="735"/>
      <c r="M684" s="881"/>
      <c r="N684" s="735"/>
      <c r="O684" s="735"/>
    </row>
    <row r="685" spans="2:15">
      <c r="B685" s="334"/>
      <c r="C685" s="725">
        <f>IF(D631="","-",+C684+1)</f>
        <v>2064</v>
      </c>
      <c r="D685" s="676">
        <f t="shared" si="38"/>
        <v>6451446.0098870471</v>
      </c>
      <c r="E685" s="732">
        <f t="shared" si="41"/>
        <v>541380.08474576275</v>
      </c>
      <c r="F685" s="676">
        <f t="shared" si="36"/>
        <v>5910065.9251412842</v>
      </c>
      <c r="G685" s="1277">
        <f t="shared" si="39"/>
        <v>1208323.0838365653</v>
      </c>
      <c r="H685" s="1280">
        <f t="shared" si="40"/>
        <v>1208323.0838365653</v>
      </c>
      <c r="I685" s="729">
        <f t="shared" si="37"/>
        <v>0</v>
      </c>
      <c r="J685" s="729"/>
      <c r="K685" s="881"/>
      <c r="L685" s="735"/>
      <c r="M685" s="881"/>
      <c r="N685" s="735"/>
      <c r="O685" s="735"/>
    </row>
    <row r="686" spans="2:15">
      <c r="B686" s="334"/>
      <c r="C686" s="725">
        <f>IF(D631="","-",+C685+1)</f>
        <v>2065</v>
      </c>
      <c r="D686" s="676">
        <f t="shared" si="38"/>
        <v>5910065.9251412842</v>
      </c>
      <c r="E686" s="732">
        <f t="shared" si="41"/>
        <v>541380.08474576275</v>
      </c>
      <c r="F686" s="676">
        <f t="shared" si="36"/>
        <v>5368685.8403955214</v>
      </c>
      <c r="G686" s="1277">
        <f t="shared" si="39"/>
        <v>1149904.7189526996</v>
      </c>
      <c r="H686" s="1280">
        <f t="shared" si="40"/>
        <v>1149904.7189526996</v>
      </c>
      <c r="I686" s="729">
        <f t="shared" si="37"/>
        <v>0</v>
      </c>
      <c r="J686" s="729"/>
      <c r="K686" s="881"/>
      <c r="L686" s="735"/>
      <c r="M686" s="881"/>
      <c r="N686" s="735"/>
      <c r="O686" s="735"/>
    </row>
    <row r="687" spans="2:15">
      <c r="B687" s="334"/>
      <c r="C687" s="725">
        <f>IF(D631="","-",+C686+1)</f>
        <v>2066</v>
      </c>
      <c r="D687" s="676">
        <f t="shared" si="38"/>
        <v>5368685.8403955214</v>
      </c>
      <c r="E687" s="732">
        <f t="shared" si="41"/>
        <v>541380.08474576275</v>
      </c>
      <c r="F687" s="676">
        <f t="shared" si="36"/>
        <v>4827305.7556497585</v>
      </c>
      <c r="G687" s="1277">
        <f t="shared" si="39"/>
        <v>1091486.3540688341</v>
      </c>
      <c r="H687" s="1280">
        <f t="shared" si="40"/>
        <v>1091486.3540688341</v>
      </c>
      <c r="I687" s="729">
        <f t="shared" si="37"/>
        <v>0</v>
      </c>
      <c r="J687" s="729"/>
      <c r="K687" s="881"/>
      <c r="L687" s="735"/>
      <c r="M687" s="881"/>
      <c r="N687" s="735"/>
      <c r="O687" s="735"/>
    </row>
    <row r="688" spans="2:15">
      <c r="B688" s="334"/>
      <c r="C688" s="725">
        <f>IF(D631="","-",+C687+1)</f>
        <v>2067</v>
      </c>
      <c r="D688" s="676">
        <f t="shared" si="38"/>
        <v>4827305.7556497585</v>
      </c>
      <c r="E688" s="732">
        <f t="shared" si="41"/>
        <v>541380.08474576275</v>
      </c>
      <c r="F688" s="676">
        <f t="shared" si="36"/>
        <v>4285925.6709039956</v>
      </c>
      <c r="G688" s="1277">
        <f t="shared" si="39"/>
        <v>1033067.9891849686</v>
      </c>
      <c r="H688" s="1280">
        <f t="shared" si="40"/>
        <v>1033067.9891849686</v>
      </c>
      <c r="I688" s="729">
        <f t="shared" si="37"/>
        <v>0</v>
      </c>
      <c r="J688" s="729"/>
      <c r="K688" s="881"/>
      <c r="L688" s="735"/>
      <c r="M688" s="881"/>
      <c r="N688" s="735"/>
      <c r="O688" s="735"/>
    </row>
    <row r="689" spans="2:15">
      <c r="B689" s="334"/>
      <c r="C689" s="725">
        <f>IF(D631="","-",+C688+1)</f>
        <v>2068</v>
      </c>
      <c r="D689" s="676">
        <f t="shared" si="38"/>
        <v>4285925.6709039956</v>
      </c>
      <c r="E689" s="732">
        <f t="shared" si="41"/>
        <v>541380.08474576275</v>
      </c>
      <c r="F689" s="676">
        <f t="shared" si="36"/>
        <v>3744545.5861582328</v>
      </c>
      <c r="G689" s="1277">
        <f t="shared" si="39"/>
        <v>974649.62430110306</v>
      </c>
      <c r="H689" s="1280">
        <f t="shared" si="40"/>
        <v>974649.62430110306</v>
      </c>
      <c r="I689" s="729">
        <f t="shared" si="37"/>
        <v>0</v>
      </c>
      <c r="J689" s="729"/>
      <c r="K689" s="881"/>
      <c r="L689" s="735"/>
      <c r="M689" s="881"/>
      <c r="N689" s="735"/>
      <c r="O689" s="735"/>
    </row>
    <row r="690" spans="2:15">
      <c r="B690" s="334"/>
      <c r="C690" s="725">
        <f>IF(D631="","-",+C689+1)</f>
        <v>2069</v>
      </c>
      <c r="D690" s="676">
        <f t="shared" si="38"/>
        <v>3744545.5861582328</v>
      </c>
      <c r="E690" s="732">
        <f t="shared" si="41"/>
        <v>541380.08474576275</v>
      </c>
      <c r="F690" s="676">
        <f t="shared" si="36"/>
        <v>3203165.5014124699</v>
      </c>
      <c r="G690" s="1277">
        <f t="shared" si="39"/>
        <v>916231.25941723748</v>
      </c>
      <c r="H690" s="1280">
        <f t="shared" si="40"/>
        <v>916231.25941723748</v>
      </c>
      <c r="I690" s="729">
        <f t="shared" si="37"/>
        <v>0</v>
      </c>
      <c r="J690" s="729"/>
      <c r="K690" s="881"/>
      <c r="L690" s="735"/>
      <c r="M690" s="881"/>
      <c r="N690" s="735"/>
      <c r="O690" s="735"/>
    </row>
    <row r="691" spans="2:15">
      <c r="B691" s="334"/>
      <c r="C691" s="725">
        <f>IF(D631="","-",+C690+1)</f>
        <v>2070</v>
      </c>
      <c r="D691" s="676">
        <f t="shared" si="38"/>
        <v>3203165.5014124699</v>
      </c>
      <c r="E691" s="732">
        <f t="shared" si="41"/>
        <v>541380.08474576275</v>
      </c>
      <c r="F691" s="676">
        <f t="shared" si="36"/>
        <v>2661785.416666707</v>
      </c>
      <c r="G691" s="1277">
        <f t="shared" si="39"/>
        <v>857812.89453337202</v>
      </c>
      <c r="H691" s="1280">
        <f t="shared" si="40"/>
        <v>857812.89453337202</v>
      </c>
      <c r="I691" s="729">
        <f t="shared" si="37"/>
        <v>0</v>
      </c>
      <c r="J691" s="729"/>
      <c r="K691" s="881"/>
      <c r="L691" s="735"/>
      <c r="M691" s="881"/>
      <c r="N691" s="735"/>
      <c r="O691" s="735"/>
    </row>
    <row r="692" spans="2:15">
      <c r="B692" s="334"/>
      <c r="C692" s="725">
        <f>IF(D631="","-",+C691+1)</f>
        <v>2071</v>
      </c>
      <c r="D692" s="676">
        <f t="shared" si="38"/>
        <v>2661785.416666707</v>
      </c>
      <c r="E692" s="732">
        <f t="shared" si="41"/>
        <v>541380.08474576275</v>
      </c>
      <c r="F692" s="676">
        <f t="shared" si="36"/>
        <v>2120405.3319209442</v>
      </c>
      <c r="G692" s="1277">
        <f t="shared" si="39"/>
        <v>799394.52964950644</v>
      </c>
      <c r="H692" s="1280">
        <f t="shared" si="40"/>
        <v>799394.52964950644</v>
      </c>
      <c r="I692" s="729">
        <f t="shared" si="37"/>
        <v>0</v>
      </c>
      <c r="J692" s="729"/>
      <c r="K692" s="881"/>
      <c r="L692" s="735"/>
      <c r="M692" s="881"/>
      <c r="N692" s="735"/>
      <c r="O692" s="735"/>
    </row>
    <row r="693" spans="2:15">
      <c r="B693" s="334"/>
      <c r="C693" s="725">
        <f>IF(D631="","-",+C692+1)</f>
        <v>2072</v>
      </c>
      <c r="D693" s="676">
        <f t="shared" si="38"/>
        <v>2120405.3319209442</v>
      </c>
      <c r="E693" s="732">
        <f t="shared" si="41"/>
        <v>541380.08474576275</v>
      </c>
      <c r="F693" s="676">
        <f t="shared" si="36"/>
        <v>1579025.2471751813</v>
      </c>
      <c r="G693" s="1277">
        <f t="shared" si="39"/>
        <v>740976.16476564086</v>
      </c>
      <c r="H693" s="1280">
        <f t="shared" si="40"/>
        <v>740976.16476564086</v>
      </c>
      <c r="I693" s="729">
        <f t="shared" si="37"/>
        <v>0</v>
      </c>
      <c r="J693" s="729"/>
      <c r="K693" s="881"/>
      <c r="L693" s="735"/>
      <c r="M693" s="881"/>
      <c r="N693" s="735"/>
      <c r="O693" s="735"/>
    </row>
    <row r="694" spans="2:15">
      <c r="B694" s="334"/>
      <c r="C694" s="725">
        <f>IF(D631="","-",+C693+1)</f>
        <v>2073</v>
      </c>
      <c r="D694" s="676">
        <f t="shared" si="38"/>
        <v>1579025.2471751813</v>
      </c>
      <c r="E694" s="732">
        <f t="shared" si="41"/>
        <v>541380.08474576275</v>
      </c>
      <c r="F694" s="676">
        <f t="shared" si="36"/>
        <v>1037645.1624294185</v>
      </c>
      <c r="G694" s="1277">
        <f t="shared" si="39"/>
        <v>682557.7998817754</v>
      </c>
      <c r="H694" s="1280">
        <f t="shared" si="40"/>
        <v>682557.7998817754</v>
      </c>
      <c r="I694" s="729">
        <f t="shared" si="37"/>
        <v>0</v>
      </c>
      <c r="J694" s="729"/>
      <c r="K694" s="881"/>
      <c r="L694" s="735"/>
      <c r="M694" s="881"/>
      <c r="N694" s="735"/>
      <c r="O694" s="735"/>
    </row>
    <row r="695" spans="2:15">
      <c r="B695" s="334"/>
      <c r="C695" s="725">
        <f>IF(D631="","-",+C694+1)</f>
        <v>2074</v>
      </c>
      <c r="D695" s="676">
        <f t="shared" si="38"/>
        <v>1037645.1624294185</v>
      </c>
      <c r="E695" s="732">
        <f t="shared" si="41"/>
        <v>541380.08474576275</v>
      </c>
      <c r="F695" s="676">
        <f t="shared" si="36"/>
        <v>496265.07768365578</v>
      </c>
      <c r="G695" s="1277">
        <f t="shared" si="39"/>
        <v>624139.43499790994</v>
      </c>
      <c r="H695" s="1280">
        <f t="shared" si="40"/>
        <v>624139.43499790994</v>
      </c>
      <c r="I695" s="729">
        <f t="shared" si="37"/>
        <v>0</v>
      </c>
      <c r="J695" s="729"/>
      <c r="K695" s="881"/>
      <c r="L695" s="735"/>
      <c r="M695" s="881"/>
      <c r="N695" s="735"/>
      <c r="O695" s="735"/>
    </row>
    <row r="696" spans="2:15" ht="13.5" thickBot="1">
      <c r="B696" s="334"/>
      <c r="C696" s="737">
        <f>IF(D631="","-",+C695+1)</f>
        <v>2075</v>
      </c>
      <c r="D696" s="738">
        <f t="shared" si="38"/>
        <v>496265.07768365578</v>
      </c>
      <c r="E696" s="739">
        <f t="shared" si="41"/>
        <v>496265.07768365578</v>
      </c>
      <c r="F696" s="738">
        <f t="shared" si="36"/>
        <v>0</v>
      </c>
      <c r="G696" s="1287">
        <f t="shared" si="39"/>
        <v>523040.16158876295</v>
      </c>
      <c r="H696" s="1287">
        <f t="shared" si="40"/>
        <v>523040.16158876295</v>
      </c>
      <c r="I696" s="741">
        <f t="shared" si="37"/>
        <v>0</v>
      </c>
      <c r="J696" s="729"/>
      <c r="K696" s="882"/>
      <c r="L696" s="743"/>
      <c r="M696" s="882"/>
      <c r="N696" s="743"/>
      <c r="O696" s="743"/>
    </row>
    <row r="697" spans="2:15">
      <c r="B697" s="334"/>
      <c r="C697" s="676" t="s">
        <v>289</v>
      </c>
      <c r="D697" s="1258"/>
      <c r="E697" s="1258">
        <f>SUM(E637:E696)</f>
        <v>31941425</v>
      </c>
      <c r="F697" s="1258"/>
      <c r="G697" s="1258">
        <f>SUM(G637:G696)</f>
        <v>136778048.98117059</v>
      </c>
      <c r="H697" s="1258">
        <f>SUM(H637:H696)</f>
        <v>136778048.98117059</v>
      </c>
      <c r="I697" s="1258">
        <f>SUM(I637:I696)</f>
        <v>0</v>
      </c>
      <c r="J697" s="1258"/>
      <c r="K697" s="1258"/>
      <c r="L697" s="1258"/>
      <c r="M697" s="1258"/>
      <c r="N697" s="1258"/>
      <c r="O697" s="543"/>
    </row>
    <row r="698" spans="2:15">
      <c r="B698" s="334"/>
      <c r="D698" s="566"/>
      <c r="E698" s="543"/>
      <c r="F698" s="543"/>
      <c r="G698" s="543"/>
      <c r="H698" s="1257"/>
      <c r="I698" s="1257"/>
      <c r="J698" s="1258"/>
      <c r="K698" s="1257"/>
      <c r="L698" s="1257"/>
      <c r="M698" s="1257"/>
      <c r="N698" s="1257"/>
      <c r="O698" s="543"/>
    </row>
    <row r="699" spans="2:15">
      <c r="B699" s="334"/>
      <c r="C699" s="543" t="s">
        <v>602</v>
      </c>
      <c r="D699" s="566"/>
      <c r="E699" s="543"/>
      <c r="F699" s="543"/>
      <c r="G699" s="543"/>
      <c r="H699" s="1257"/>
      <c r="I699" s="1257"/>
      <c r="J699" s="1258"/>
      <c r="K699" s="1257"/>
      <c r="L699" s="1257"/>
      <c r="M699" s="1257"/>
      <c r="N699" s="1257"/>
      <c r="O699" s="543"/>
    </row>
    <row r="700" spans="2:15">
      <c r="B700" s="334"/>
      <c r="D700" s="566"/>
      <c r="E700" s="543"/>
      <c r="F700" s="543"/>
      <c r="G700" s="543"/>
      <c r="H700" s="1257"/>
      <c r="I700" s="1257"/>
      <c r="J700" s="1258"/>
      <c r="K700" s="1257"/>
      <c r="L700" s="1257"/>
      <c r="M700" s="1257"/>
      <c r="N700" s="1257"/>
      <c r="O700" s="543"/>
    </row>
    <row r="701" spans="2:15">
      <c r="B701" s="334"/>
      <c r="C701" s="579" t="s">
        <v>603</v>
      </c>
      <c r="D701" s="676"/>
      <c r="E701" s="676"/>
      <c r="F701" s="676"/>
      <c r="G701" s="1258"/>
      <c r="H701" s="1258"/>
      <c r="I701" s="677"/>
      <c r="J701" s="677"/>
      <c r="K701" s="677"/>
      <c r="L701" s="677"/>
      <c r="M701" s="677"/>
      <c r="N701" s="677"/>
      <c r="O701" s="543"/>
    </row>
    <row r="702" spans="2:15">
      <c r="B702" s="334"/>
      <c r="C702" s="579" t="s">
        <v>477</v>
      </c>
      <c r="D702" s="676"/>
      <c r="E702" s="676"/>
      <c r="F702" s="676"/>
      <c r="G702" s="1258"/>
      <c r="H702" s="1258"/>
      <c r="I702" s="677"/>
      <c r="J702" s="677"/>
      <c r="K702" s="677"/>
      <c r="L702" s="677"/>
      <c r="M702" s="677"/>
      <c r="N702" s="677"/>
      <c r="O702" s="543"/>
    </row>
    <row r="703" spans="2:15">
      <c r="B703" s="334"/>
      <c r="C703" s="579" t="s">
        <v>290</v>
      </c>
      <c r="D703" s="676"/>
      <c r="E703" s="676"/>
      <c r="F703" s="676"/>
      <c r="G703" s="1258"/>
      <c r="H703" s="1258"/>
      <c r="I703" s="677"/>
      <c r="J703" s="677"/>
      <c r="K703" s="677"/>
      <c r="L703" s="677"/>
      <c r="M703" s="677"/>
      <c r="N703" s="677"/>
      <c r="O703" s="543"/>
    </row>
    <row r="704" spans="2:15">
      <c r="B704" s="334"/>
      <c r="C704" s="675"/>
      <c r="D704" s="676"/>
      <c r="E704" s="676"/>
      <c r="F704" s="676"/>
      <c r="G704" s="1258"/>
      <c r="H704" s="1258"/>
      <c r="I704" s="677"/>
      <c r="J704" s="677"/>
      <c r="K704" s="677"/>
      <c r="L704" s="677"/>
      <c r="M704" s="677"/>
      <c r="N704" s="677"/>
      <c r="O704" s="543"/>
    </row>
    <row r="705" spans="1:16">
      <c r="B705" s="334"/>
      <c r="C705" s="1436" t="s">
        <v>461</v>
      </c>
      <c r="D705" s="1436"/>
      <c r="E705" s="1436"/>
      <c r="F705" s="1436"/>
      <c r="G705" s="1436"/>
      <c r="H705" s="1436"/>
      <c r="I705" s="1436"/>
      <c r="J705" s="1436"/>
      <c r="K705" s="1436"/>
      <c r="L705" s="1436"/>
      <c r="M705" s="1436"/>
      <c r="N705" s="1436"/>
      <c r="O705" s="1436"/>
    </row>
    <row r="706" spans="1:16">
      <c r="B706" s="334"/>
      <c r="C706" s="1436"/>
      <c r="D706" s="1436"/>
      <c r="E706" s="1436"/>
      <c r="F706" s="1436"/>
      <c r="G706" s="1436"/>
      <c r="H706" s="1436"/>
      <c r="I706" s="1436"/>
      <c r="J706" s="1436"/>
      <c r="K706" s="1436"/>
      <c r="L706" s="1436"/>
      <c r="M706" s="1436"/>
      <c r="N706" s="1436"/>
      <c r="O706" s="1436"/>
    </row>
    <row r="707" spans="1:16" ht="20.25">
      <c r="A707" s="678" t="s">
        <v>993</v>
      </c>
      <c r="B707" s="543"/>
      <c r="C707" s="658"/>
      <c r="D707" s="566"/>
      <c r="E707" s="543"/>
      <c r="F707" s="648"/>
      <c r="G707" s="543"/>
      <c r="H707" s="1257"/>
      <c r="K707" s="679"/>
      <c r="L707" s="679"/>
      <c r="M707" s="679"/>
      <c r="N707" s="594" t="str">
        <f>"Page "&amp;SUM(P$6:P707)&amp;" of "</f>
        <v xml:space="preserve">Page 9 of </v>
      </c>
      <c r="O707" s="595">
        <f>COUNT(P$6:P$59606)</f>
        <v>14</v>
      </c>
      <c r="P707" s="543">
        <v>1</v>
      </c>
    </row>
    <row r="708" spans="1:16">
      <c r="B708" s="543"/>
      <c r="C708" s="543"/>
      <c r="D708" s="566"/>
      <c r="E708" s="543"/>
      <c r="F708" s="543"/>
      <c r="G708" s="543"/>
      <c r="H708" s="1257"/>
      <c r="I708" s="543"/>
      <c r="J708" s="591"/>
      <c r="K708" s="543"/>
      <c r="L708" s="543"/>
      <c r="M708" s="543"/>
      <c r="N708" s="543"/>
      <c r="O708" s="543"/>
    </row>
    <row r="709" spans="1:16" ht="18">
      <c r="B709" s="598" t="s">
        <v>175</v>
      </c>
      <c r="C709" s="680" t="s">
        <v>291</v>
      </c>
      <c r="D709" s="566"/>
      <c r="E709" s="543"/>
      <c r="F709" s="543"/>
      <c r="G709" s="543"/>
      <c r="H709" s="1257"/>
      <c r="I709" s="1257"/>
      <c r="J709" s="1258"/>
      <c r="K709" s="1257"/>
      <c r="L709" s="1257"/>
      <c r="M709" s="1257"/>
      <c r="N709" s="1257"/>
      <c r="O709" s="543"/>
    </row>
    <row r="710" spans="1:16" ht="18.75">
      <c r="B710" s="598"/>
      <c r="C710" s="597"/>
      <c r="D710" s="566"/>
      <c r="E710" s="543"/>
      <c r="F710" s="543"/>
      <c r="G710" s="543"/>
      <c r="H710" s="1257"/>
      <c r="I710" s="1257"/>
      <c r="J710" s="1258"/>
      <c r="K710" s="1257"/>
      <c r="L710" s="1257"/>
      <c r="M710" s="1257"/>
      <c r="N710" s="1257"/>
      <c r="O710" s="543"/>
    </row>
    <row r="711" spans="1:16" ht="18.75">
      <c r="B711" s="598"/>
      <c r="C711" s="597" t="s">
        <v>292</v>
      </c>
      <c r="D711" s="566"/>
      <c r="E711" s="543"/>
      <c r="F711" s="543"/>
      <c r="G711" s="543"/>
      <c r="H711" s="1257"/>
      <c r="I711" s="1257"/>
      <c r="J711" s="1258"/>
      <c r="K711" s="1257"/>
      <c r="L711" s="1257"/>
      <c r="M711" s="1257"/>
      <c r="N711" s="1257"/>
      <c r="O711" s="543"/>
    </row>
    <row r="712" spans="1:16" ht="15.75" thickBot="1">
      <c r="B712" s="334"/>
      <c r="C712" s="400"/>
      <c r="D712" s="566"/>
      <c r="E712" s="543"/>
      <c r="F712" s="543"/>
      <c r="G712" s="543"/>
      <c r="H712" s="1257"/>
      <c r="I712" s="1257"/>
      <c r="J712" s="1258"/>
      <c r="K712" s="1257"/>
      <c r="L712" s="1257"/>
      <c r="M712" s="1257"/>
      <c r="N712" s="1257"/>
      <c r="O712" s="543"/>
    </row>
    <row r="713" spans="1:16" ht="15.75">
      <c r="B713" s="334"/>
      <c r="C713" s="599" t="s">
        <v>293</v>
      </c>
      <c r="D713" s="566"/>
      <c r="E713" s="543"/>
      <c r="F713" s="543"/>
      <c r="G713" s="1259"/>
      <c r="H713" s="543" t="s">
        <v>272</v>
      </c>
      <c r="I713" s="543"/>
      <c r="J713" s="591"/>
      <c r="K713" s="681" t="s">
        <v>297</v>
      </c>
      <c r="L713" s="682"/>
      <c r="M713" s="683"/>
      <c r="N713" s="1260">
        <f>VLOOKUP(I719,C726:O785,5)</f>
        <v>659312.18551798584</v>
      </c>
      <c r="O713" s="543"/>
    </row>
    <row r="714" spans="1:16" ht="15.75">
      <c r="B714" s="334"/>
      <c r="C714" s="599"/>
      <c r="D714" s="566"/>
      <c r="E714" s="543"/>
      <c r="F714" s="543"/>
      <c r="G714" s="543"/>
      <c r="H714" s="1261"/>
      <c r="I714" s="1261"/>
      <c r="J714" s="1262"/>
      <c r="K714" s="686" t="s">
        <v>298</v>
      </c>
      <c r="L714" s="1263"/>
      <c r="M714" s="591"/>
      <c r="N714" s="1264">
        <f>VLOOKUP(I719,C726:O785,6)</f>
        <v>659312.18551798584</v>
      </c>
      <c r="O714" s="543"/>
    </row>
    <row r="715" spans="1:16" ht="13.5" thickBot="1">
      <c r="B715" s="334"/>
      <c r="C715" s="687" t="s">
        <v>294</v>
      </c>
      <c r="D715" s="1434" t="s">
        <v>1002</v>
      </c>
      <c r="E715" s="1434"/>
      <c r="F715" s="1434"/>
      <c r="G715" s="1434"/>
      <c r="H715" s="1434"/>
      <c r="I715" s="1257"/>
      <c r="J715" s="1258"/>
      <c r="K715" s="1265" t="s">
        <v>451</v>
      </c>
      <c r="L715" s="1266"/>
      <c r="M715" s="1266"/>
      <c r="N715" s="1267">
        <f>+N714-N713</f>
        <v>0</v>
      </c>
      <c r="O715" s="543"/>
    </row>
    <row r="716" spans="1:16">
      <c r="B716" s="334"/>
      <c r="C716" s="689"/>
      <c r="D716" s="690"/>
      <c r="E716" s="674"/>
      <c r="F716" s="674"/>
      <c r="G716" s="691"/>
      <c r="H716" s="1257"/>
      <c r="I716" s="1257"/>
      <c r="J716" s="1258"/>
      <c r="K716" s="1257"/>
      <c r="L716" s="1257"/>
      <c r="M716" s="1257"/>
      <c r="N716" s="1257"/>
      <c r="O716" s="543"/>
    </row>
    <row r="717" spans="1:16" ht="13.5" thickBot="1">
      <c r="B717" s="334"/>
      <c r="C717" s="692"/>
      <c r="D717" s="693"/>
      <c r="E717" s="691"/>
      <c r="F717" s="691"/>
      <c r="G717" s="691"/>
      <c r="H717" s="691"/>
      <c r="I717" s="691"/>
      <c r="J717" s="694"/>
      <c r="K717" s="691"/>
      <c r="L717" s="691"/>
      <c r="M717" s="691"/>
      <c r="N717" s="691"/>
      <c r="O717" s="579"/>
    </row>
    <row r="718" spans="1:16" ht="13.5" thickBot="1">
      <c r="B718" s="334"/>
      <c r="C718" s="696" t="s">
        <v>295</v>
      </c>
      <c r="D718" s="697"/>
      <c r="E718" s="697"/>
      <c r="F718" s="697"/>
      <c r="G718" s="697"/>
      <c r="H718" s="697"/>
      <c r="I718" s="698"/>
      <c r="J718" s="699"/>
      <c r="K718" s="543"/>
      <c r="L718" s="543"/>
      <c r="M718" s="543"/>
      <c r="N718" s="543"/>
      <c r="O718" s="700"/>
    </row>
    <row r="719" spans="1:16" ht="15">
      <c r="C719" s="702" t="s">
        <v>273</v>
      </c>
      <c r="D719" s="1268">
        <v>5481331</v>
      </c>
      <c r="E719" s="658" t="s">
        <v>274</v>
      </c>
      <c r="G719" s="703"/>
      <c r="H719" s="703"/>
      <c r="I719" s="704">
        <v>2018</v>
      </c>
      <c r="J719" s="589"/>
      <c r="K719" s="1435" t="s">
        <v>460</v>
      </c>
      <c r="L719" s="1435"/>
      <c r="M719" s="1435"/>
      <c r="N719" s="1435"/>
      <c r="O719" s="1435"/>
    </row>
    <row r="720" spans="1:16">
      <c r="C720" s="702" t="s">
        <v>276</v>
      </c>
      <c r="D720" s="876">
        <v>2015</v>
      </c>
      <c r="E720" s="702" t="s">
        <v>277</v>
      </c>
      <c r="F720" s="703"/>
      <c r="H720" s="334"/>
      <c r="I720" s="879">
        <f>IF(G713="",0,$F$15)</f>
        <v>0</v>
      </c>
      <c r="J720" s="705"/>
      <c r="K720" s="1258" t="s">
        <v>460</v>
      </c>
    </row>
    <row r="721" spans="1:15">
      <c r="C721" s="702" t="s">
        <v>278</v>
      </c>
      <c r="D721" s="1269">
        <v>12</v>
      </c>
      <c r="E721" s="702" t="s">
        <v>279</v>
      </c>
      <c r="F721" s="703"/>
      <c r="H721" s="334"/>
      <c r="I721" s="706">
        <f>$G$70</f>
        <v>0.10790637951024619</v>
      </c>
      <c r="J721" s="707"/>
      <c r="K721" s="334" t="str">
        <f>"          INPUT PROJECTED ARR (WITH &amp; WITHOUT INCENTIVES) FROM EACH PRIOR YEAR"</f>
        <v xml:space="preserve">          INPUT PROJECTED ARR (WITH &amp; WITHOUT INCENTIVES) FROM EACH PRIOR YEAR</v>
      </c>
    </row>
    <row r="722" spans="1:15">
      <c r="C722" s="702" t="s">
        <v>280</v>
      </c>
      <c r="D722" s="708">
        <f>G$79</f>
        <v>59</v>
      </c>
      <c r="E722" s="702" t="s">
        <v>281</v>
      </c>
      <c r="F722" s="703"/>
      <c r="H722" s="334"/>
      <c r="I722" s="706">
        <f>IF(G713="",I721,$G$67)</f>
        <v>0.10790637951024619</v>
      </c>
      <c r="J722" s="709"/>
      <c r="K722" s="334" t="s">
        <v>358</v>
      </c>
    </row>
    <row r="723" spans="1:15" ht="13.5" thickBot="1">
      <c r="C723" s="702" t="s">
        <v>282</v>
      </c>
      <c r="D723" s="878" t="s">
        <v>995</v>
      </c>
      <c r="E723" s="710" t="s">
        <v>283</v>
      </c>
      <c r="F723" s="711"/>
      <c r="G723" s="712"/>
      <c r="H723" s="712"/>
      <c r="I723" s="1267">
        <f>IF(D719=0,0,D719/D722)</f>
        <v>92903.91525423729</v>
      </c>
      <c r="J723" s="1258"/>
      <c r="K723" s="1258" t="s">
        <v>364</v>
      </c>
      <c r="L723" s="1258"/>
      <c r="M723" s="1258"/>
      <c r="N723" s="1258"/>
      <c r="O723" s="591"/>
    </row>
    <row r="724" spans="1:15" ht="51">
      <c r="A724" s="530"/>
      <c r="B724" s="530"/>
      <c r="C724" s="713" t="s">
        <v>273</v>
      </c>
      <c r="D724" s="1270" t="s">
        <v>284</v>
      </c>
      <c r="E724" s="1271" t="s">
        <v>285</v>
      </c>
      <c r="F724" s="1270" t="s">
        <v>286</v>
      </c>
      <c r="G724" s="1271" t="s">
        <v>357</v>
      </c>
      <c r="H724" s="1272" t="s">
        <v>357</v>
      </c>
      <c r="I724" s="713" t="s">
        <v>296</v>
      </c>
      <c r="J724" s="717"/>
      <c r="K724" s="1271" t="s">
        <v>366</v>
      </c>
      <c r="L724" s="1273"/>
      <c r="M724" s="1271" t="s">
        <v>366</v>
      </c>
      <c r="N724" s="1273"/>
      <c r="O724" s="1273"/>
    </row>
    <row r="725" spans="1:15" ht="13.5" thickBot="1">
      <c r="B725" s="334"/>
      <c r="C725" s="719" t="s">
        <v>178</v>
      </c>
      <c r="D725" s="720" t="s">
        <v>179</v>
      </c>
      <c r="E725" s="719" t="s">
        <v>37</v>
      </c>
      <c r="F725" s="720" t="s">
        <v>179</v>
      </c>
      <c r="G725" s="1274" t="s">
        <v>299</v>
      </c>
      <c r="H725" s="1275" t="s">
        <v>301</v>
      </c>
      <c r="I725" s="723" t="s">
        <v>390</v>
      </c>
      <c r="J725" s="724"/>
      <c r="K725" s="1274" t="s">
        <v>288</v>
      </c>
      <c r="L725" s="1276"/>
      <c r="M725" s="1274" t="s">
        <v>301</v>
      </c>
      <c r="N725" s="1276"/>
      <c r="O725" s="1276"/>
    </row>
    <row r="726" spans="1:15">
      <c r="B726" s="334"/>
      <c r="C726" s="725">
        <f>IF(D720= "","-",D720)</f>
        <v>2015</v>
      </c>
      <c r="D726" s="676">
        <f>+D719</f>
        <v>5481331</v>
      </c>
      <c r="E726" s="1277">
        <f>+I723/12*(12-D721)</f>
        <v>0</v>
      </c>
      <c r="F726" s="676">
        <f t="shared" ref="F726:F785" si="42">+D726-E726</f>
        <v>5481331</v>
      </c>
      <c r="G726" s="1278">
        <f>+$I$721*((D726+F726)/2)+E726</f>
        <v>591470.58310727729</v>
      </c>
      <c r="H726" s="1279">
        <f>+$I$722*((D726+F726)/2)+E726</f>
        <v>591470.58310727729</v>
      </c>
      <c r="I726" s="729">
        <f t="shared" ref="I726:I785" si="43">+H726-G726</f>
        <v>0</v>
      </c>
      <c r="J726" s="729"/>
      <c r="K726" s="880">
        <v>0</v>
      </c>
      <c r="L726" s="731"/>
      <c r="M726" s="880">
        <v>0</v>
      </c>
      <c r="N726" s="731"/>
      <c r="O726" s="731"/>
    </row>
    <row r="727" spans="1:15">
      <c r="B727" s="334"/>
      <c r="C727" s="725">
        <f>IF(D720="","-",+C726+1)</f>
        <v>2016</v>
      </c>
      <c r="D727" s="676">
        <f t="shared" ref="D727:D785" si="44">F726</f>
        <v>5481331</v>
      </c>
      <c r="E727" s="732">
        <f>IF(D727&gt;$I$723,$I$723,D727)</f>
        <v>92903.91525423729</v>
      </c>
      <c r="F727" s="676">
        <f t="shared" si="42"/>
        <v>5388427.0847457629</v>
      </c>
      <c r="G727" s="1277">
        <f t="shared" ref="G727:G785" si="45">+$I$721*((D727+F727)/2)+E727</f>
        <v>679362.03579280875</v>
      </c>
      <c r="H727" s="1280">
        <f t="shared" ref="H727:H785" si="46">+$I$722*((D727+F727)/2)+E727</f>
        <v>679362.03579280875</v>
      </c>
      <c r="I727" s="729">
        <f t="shared" si="43"/>
        <v>0</v>
      </c>
      <c r="J727" s="1294"/>
      <c r="K727" s="1295">
        <v>780577</v>
      </c>
      <c r="L727" s="1298"/>
      <c r="M727" s="1295">
        <v>780577</v>
      </c>
      <c r="N727" s="1299"/>
      <c r="O727" s="735"/>
    </row>
    <row r="728" spans="1:15">
      <c r="B728" s="334"/>
      <c r="C728" s="725">
        <f>IF(D720="","-",+C727+1)</f>
        <v>2017</v>
      </c>
      <c r="D728" s="676">
        <f t="shared" si="44"/>
        <v>5388427.0847457629</v>
      </c>
      <c r="E728" s="732">
        <f t="shared" ref="E728:E785" si="47">IF(D728&gt;$I$723,$I$723,D728)</f>
        <v>92903.91525423729</v>
      </c>
      <c r="F728" s="676">
        <f t="shared" si="42"/>
        <v>5295523.1694915257</v>
      </c>
      <c r="G728" s="1277">
        <f t="shared" si="45"/>
        <v>669337.11065539729</v>
      </c>
      <c r="H728" s="1280">
        <f t="shared" si="46"/>
        <v>669337.11065539729</v>
      </c>
      <c r="I728" s="729">
        <f t="shared" si="43"/>
        <v>0</v>
      </c>
      <c r="J728" s="729"/>
      <c r="K728" s="881">
        <v>779062</v>
      </c>
      <c r="L728" s="1290"/>
      <c r="M728" s="881">
        <v>779062</v>
      </c>
      <c r="N728" s="735"/>
      <c r="O728" s="735"/>
    </row>
    <row r="729" spans="1:15">
      <c r="B729" s="334"/>
      <c r="C729" s="1281">
        <f>IF(D720="","-",+C728+1)</f>
        <v>2018</v>
      </c>
      <c r="D729" s="1282">
        <f t="shared" si="44"/>
        <v>5295523.1694915257</v>
      </c>
      <c r="E729" s="1283">
        <f t="shared" si="47"/>
        <v>92903.91525423729</v>
      </c>
      <c r="F729" s="1282">
        <f t="shared" si="42"/>
        <v>5202619.2542372886</v>
      </c>
      <c r="G729" s="1284">
        <f t="shared" si="45"/>
        <v>659312.18551798584</v>
      </c>
      <c r="H729" s="1285">
        <f t="shared" si="46"/>
        <v>659312.18551798584</v>
      </c>
      <c r="I729" s="1291">
        <f t="shared" si="43"/>
        <v>0</v>
      </c>
      <c r="J729" s="729"/>
      <c r="K729" s="881"/>
      <c r="L729" s="735"/>
      <c r="M729" s="881"/>
      <c r="N729" s="735"/>
      <c r="O729" s="735"/>
    </row>
    <row r="730" spans="1:15">
      <c r="B730" s="334"/>
      <c r="C730" s="725">
        <f>IF(D720="","-",+C729+1)</f>
        <v>2019</v>
      </c>
      <c r="D730" s="676">
        <f t="shared" si="44"/>
        <v>5202619.2542372886</v>
      </c>
      <c r="E730" s="732">
        <f t="shared" si="47"/>
        <v>92903.91525423729</v>
      </c>
      <c r="F730" s="676">
        <f t="shared" si="42"/>
        <v>5109715.3389830515</v>
      </c>
      <c r="G730" s="1277">
        <f t="shared" si="45"/>
        <v>649287.26038057439</v>
      </c>
      <c r="H730" s="1280">
        <f t="shared" si="46"/>
        <v>649287.26038057439</v>
      </c>
      <c r="I730" s="729">
        <f t="shared" si="43"/>
        <v>0</v>
      </c>
      <c r="J730" s="729"/>
      <c r="K730" s="881"/>
      <c r="L730" s="735"/>
      <c r="M730" s="881"/>
      <c r="N730" s="735"/>
      <c r="O730" s="735"/>
    </row>
    <row r="731" spans="1:15">
      <c r="B731" s="334"/>
      <c r="C731" s="725">
        <f>IF(D720="","-",+C730+1)</f>
        <v>2020</v>
      </c>
      <c r="D731" s="676">
        <f t="shared" si="44"/>
        <v>5109715.3389830515</v>
      </c>
      <c r="E731" s="732">
        <f t="shared" si="47"/>
        <v>92903.91525423729</v>
      </c>
      <c r="F731" s="676">
        <f t="shared" si="42"/>
        <v>5016811.4237288143</v>
      </c>
      <c r="G731" s="1277">
        <f t="shared" si="45"/>
        <v>639262.33524316293</v>
      </c>
      <c r="H731" s="1280">
        <f t="shared" si="46"/>
        <v>639262.33524316293</v>
      </c>
      <c r="I731" s="729">
        <f t="shared" si="43"/>
        <v>0</v>
      </c>
      <c r="J731" s="729"/>
      <c r="K731" s="881"/>
      <c r="L731" s="735"/>
      <c r="M731" s="881"/>
      <c r="N731" s="735"/>
      <c r="O731" s="735"/>
    </row>
    <row r="732" spans="1:15">
      <c r="B732" s="334"/>
      <c r="C732" s="725">
        <f>IF(D720="","-",+C731+1)</f>
        <v>2021</v>
      </c>
      <c r="D732" s="676">
        <f t="shared" si="44"/>
        <v>5016811.4237288143</v>
      </c>
      <c r="E732" s="732">
        <f t="shared" si="47"/>
        <v>92903.91525423729</v>
      </c>
      <c r="F732" s="676">
        <f t="shared" si="42"/>
        <v>4923907.5084745772</v>
      </c>
      <c r="G732" s="1277">
        <f t="shared" si="45"/>
        <v>629237.41010575148</v>
      </c>
      <c r="H732" s="1280">
        <f t="shared" si="46"/>
        <v>629237.41010575148</v>
      </c>
      <c r="I732" s="729">
        <f t="shared" si="43"/>
        <v>0</v>
      </c>
      <c r="J732" s="729"/>
      <c r="K732" s="881"/>
      <c r="L732" s="735"/>
      <c r="M732" s="881"/>
      <c r="N732" s="735"/>
      <c r="O732" s="735"/>
    </row>
    <row r="733" spans="1:15">
      <c r="B733" s="334"/>
      <c r="C733" s="725">
        <f>IF(D720="","-",+C732+1)</f>
        <v>2022</v>
      </c>
      <c r="D733" s="676">
        <f t="shared" si="44"/>
        <v>4923907.5084745772</v>
      </c>
      <c r="E733" s="732">
        <f t="shared" si="47"/>
        <v>92903.91525423729</v>
      </c>
      <c r="F733" s="676">
        <f t="shared" si="42"/>
        <v>4831003.5932203401</v>
      </c>
      <c r="G733" s="1277">
        <f t="shared" si="45"/>
        <v>619212.48496834002</v>
      </c>
      <c r="H733" s="1280">
        <f t="shared" si="46"/>
        <v>619212.48496834002</v>
      </c>
      <c r="I733" s="729">
        <f t="shared" si="43"/>
        <v>0</v>
      </c>
      <c r="J733" s="729"/>
      <c r="K733" s="881"/>
      <c r="L733" s="735"/>
      <c r="M733" s="881"/>
      <c r="N733" s="735"/>
      <c r="O733" s="735"/>
    </row>
    <row r="734" spans="1:15">
      <c r="B734" s="334"/>
      <c r="C734" s="725">
        <f>IF(D720="","-",+C733+1)</f>
        <v>2023</v>
      </c>
      <c r="D734" s="676">
        <f t="shared" si="44"/>
        <v>4831003.5932203401</v>
      </c>
      <c r="E734" s="732">
        <f t="shared" si="47"/>
        <v>92903.91525423729</v>
      </c>
      <c r="F734" s="676">
        <f t="shared" si="42"/>
        <v>4738099.677966103</v>
      </c>
      <c r="G734" s="1277">
        <f t="shared" si="45"/>
        <v>609187.55983092857</v>
      </c>
      <c r="H734" s="1280">
        <f t="shared" si="46"/>
        <v>609187.55983092857</v>
      </c>
      <c r="I734" s="729">
        <f t="shared" si="43"/>
        <v>0</v>
      </c>
      <c r="J734" s="729"/>
      <c r="K734" s="881"/>
      <c r="L734" s="735"/>
      <c r="M734" s="881"/>
      <c r="N734" s="735"/>
      <c r="O734" s="735"/>
    </row>
    <row r="735" spans="1:15">
      <c r="B735" s="334"/>
      <c r="C735" s="725">
        <f>IF(D720="","-",+C734+1)</f>
        <v>2024</v>
      </c>
      <c r="D735" s="676">
        <f t="shared" si="44"/>
        <v>4738099.677966103</v>
      </c>
      <c r="E735" s="732">
        <f t="shared" si="47"/>
        <v>92903.91525423729</v>
      </c>
      <c r="F735" s="676">
        <f t="shared" si="42"/>
        <v>4645195.7627118658</v>
      </c>
      <c r="G735" s="1277">
        <f t="shared" si="45"/>
        <v>599162.63469351712</v>
      </c>
      <c r="H735" s="1280">
        <f t="shared" si="46"/>
        <v>599162.63469351712</v>
      </c>
      <c r="I735" s="729">
        <f t="shared" si="43"/>
        <v>0</v>
      </c>
      <c r="J735" s="729"/>
      <c r="K735" s="881"/>
      <c r="L735" s="735"/>
      <c r="M735" s="881"/>
      <c r="N735" s="735"/>
      <c r="O735" s="735"/>
    </row>
    <row r="736" spans="1:15">
      <c r="B736" s="334"/>
      <c r="C736" s="725">
        <f>IF(D720="","-",+C735+1)</f>
        <v>2025</v>
      </c>
      <c r="D736" s="676">
        <f t="shared" si="44"/>
        <v>4645195.7627118658</v>
      </c>
      <c r="E736" s="732">
        <f t="shared" si="47"/>
        <v>92903.91525423729</v>
      </c>
      <c r="F736" s="676">
        <f t="shared" si="42"/>
        <v>4552291.8474576287</v>
      </c>
      <c r="G736" s="1277">
        <f t="shared" si="45"/>
        <v>589137.70955610566</v>
      </c>
      <c r="H736" s="1280">
        <f t="shared" si="46"/>
        <v>589137.70955610566</v>
      </c>
      <c r="I736" s="729">
        <f t="shared" si="43"/>
        <v>0</v>
      </c>
      <c r="J736" s="729"/>
      <c r="K736" s="881"/>
      <c r="L736" s="735"/>
      <c r="M736" s="881"/>
      <c r="N736" s="735"/>
      <c r="O736" s="735"/>
    </row>
    <row r="737" spans="2:15">
      <c r="B737" s="334"/>
      <c r="C737" s="725">
        <f>IF(D720="","-",+C736+1)</f>
        <v>2026</v>
      </c>
      <c r="D737" s="676">
        <f t="shared" si="44"/>
        <v>4552291.8474576287</v>
      </c>
      <c r="E737" s="732">
        <f t="shared" si="47"/>
        <v>92903.91525423729</v>
      </c>
      <c r="F737" s="676">
        <f t="shared" si="42"/>
        <v>4459387.9322033916</v>
      </c>
      <c r="G737" s="1277">
        <f t="shared" si="45"/>
        <v>579112.78441869421</v>
      </c>
      <c r="H737" s="1280">
        <f t="shared" si="46"/>
        <v>579112.78441869421</v>
      </c>
      <c r="I737" s="729">
        <f t="shared" si="43"/>
        <v>0</v>
      </c>
      <c r="J737" s="729"/>
      <c r="K737" s="881"/>
      <c r="L737" s="735"/>
      <c r="M737" s="881"/>
      <c r="N737" s="735"/>
      <c r="O737" s="735"/>
    </row>
    <row r="738" spans="2:15">
      <c r="B738" s="334"/>
      <c r="C738" s="725">
        <f>IF(D720="","-",+C737+1)</f>
        <v>2027</v>
      </c>
      <c r="D738" s="676">
        <f t="shared" si="44"/>
        <v>4459387.9322033916</v>
      </c>
      <c r="E738" s="732">
        <f t="shared" si="47"/>
        <v>92903.91525423729</v>
      </c>
      <c r="F738" s="676">
        <f t="shared" si="42"/>
        <v>4366484.0169491544</v>
      </c>
      <c r="G738" s="1277">
        <f t="shared" si="45"/>
        <v>569087.85928128276</v>
      </c>
      <c r="H738" s="1280">
        <f t="shared" si="46"/>
        <v>569087.85928128276</v>
      </c>
      <c r="I738" s="729">
        <f t="shared" si="43"/>
        <v>0</v>
      </c>
      <c r="J738" s="729"/>
      <c r="K738" s="881"/>
      <c r="L738" s="735"/>
      <c r="M738" s="881"/>
      <c r="N738" s="736"/>
      <c r="O738" s="735"/>
    </row>
    <row r="739" spans="2:15">
      <c r="B739" s="334"/>
      <c r="C739" s="725">
        <f>IF(D720="","-",+C738+1)</f>
        <v>2028</v>
      </c>
      <c r="D739" s="676">
        <f t="shared" si="44"/>
        <v>4366484.0169491544</v>
      </c>
      <c r="E739" s="732">
        <f t="shared" si="47"/>
        <v>92903.91525423729</v>
      </c>
      <c r="F739" s="676">
        <f t="shared" si="42"/>
        <v>4273580.1016949173</v>
      </c>
      <c r="G739" s="1277">
        <f t="shared" si="45"/>
        <v>559062.9341438713</v>
      </c>
      <c r="H739" s="1280">
        <f t="shared" si="46"/>
        <v>559062.9341438713</v>
      </c>
      <c r="I739" s="729">
        <f t="shared" si="43"/>
        <v>0</v>
      </c>
      <c r="J739" s="729"/>
      <c r="K739" s="881"/>
      <c r="L739" s="735"/>
      <c r="M739" s="881"/>
      <c r="N739" s="735"/>
      <c r="O739" s="735"/>
    </row>
    <row r="740" spans="2:15">
      <c r="B740" s="334"/>
      <c r="C740" s="725">
        <f>IF(D720="","-",+C739+1)</f>
        <v>2029</v>
      </c>
      <c r="D740" s="676">
        <f t="shared" si="44"/>
        <v>4273580.1016949173</v>
      </c>
      <c r="E740" s="732">
        <f t="shared" si="47"/>
        <v>92903.91525423729</v>
      </c>
      <c r="F740" s="676">
        <f t="shared" si="42"/>
        <v>4180676.1864406802</v>
      </c>
      <c r="G740" s="1277">
        <f t="shared" si="45"/>
        <v>549038.00900645985</v>
      </c>
      <c r="H740" s="1280">
        <f t="shared" si="46"/>
        <v>549038.00900645985</v>
      </c>
      <c r="I740" s="729">
        <f t="shared" si="43"/>
        <v>0</v>
      </c>
      <c r="J740" s="729"/>
      <c r="K740" s="881"/>
      <c r="L740" s="735"/>
      <c r="M740" s="881"/>
      <c r="N740" s="735"/>
      <c r="O740" s="735"/>
    </row>
    <row r="741" spans="2:15">
      <c r="B741" s="334"/>
      <c r="C741" s="725">
        <f>IF(D720="","-",+C740+1)</f>
        <v>2030</v>
      </c>
      <c r="D741" s="676">
        <f t="shared" si="44"/>
        <v>4180676.1864406802</v>
      </c>
      <c r="E741" s="732">
        <f t="shared" si="47"/>
        <v>92903.91525423729</v>
      </c>
      <c r="F741" s="676">
        <f t="shared" si="42"/>
        <v>4087772.271186443</v>
      </c>
      <c r="G741" s="1277">
        <f t="shared" si="45"/>
        <v>539013.08386904828</v>
      </c>
      <c r="H741" s="1280">
        <f t="shared" si="46"/>
        <v>539013.08386904828</v>
      </c>
      <c r="I741" s="729">
        <f t="shared" si="43"/>
        <v>0</v>
      </c>
      <c r="J741" s="729"/>
      <c r="K741" s="881"/>
      <c r="L741" s="735"/>
      <c r="M741" s="881"/>
      <c r="N741" s="735"/>
      <c r="O741" s="735"/>
    </row>
    <row r="742" spans="2:15">
      <c r="B742" s="334"/>
      <c r="C742" s="725">
        <f>IF(D720="","-",+C741+1)</f>
        <v>2031</v>
      </c>
      <c r="D742" s="676">
        <f t="shared" si="44"/>
        <v>4087772.271186443</v>
      </c>
      <c r="E742" s="732">
        <f t="shared" si="47"/>
        <v>92903.91525423729</v>
      </c>
      <c r="F742" s="676">
        <f t="shared" si="42"/>
        <v>3994868.3559322059</v>
      </c>
      <c r="G742" s="1277">
        <f t="shared" si="45"/>
        <v>528988.15873163682</v>
      </c>
      <c r="H742" s="1280">
        <f t="shared" si="46"/>
        <v>528988.15873163682</v>
      </c>
      <c r="I742" s="729">
        <f t="shared" si="43"/>
        <v>0</v>
      </c>
      <c r="J742" s="729"/>
      <c r="K742" s="881"/>
      <c r="L742" s="735"/>
      <c r="M742" s="881"/>
      <c r="N742" s="735"/>
      <c r="O742" s="735"/>
    </row>
    <row r="743" spans="2:15">
      <c r="B743" s="334"/>
      <c r="C743" s="725">
        <f>IF(D720="","-",+C742+1)</f>
        <v>2032</v>
      </c>
      <c r="D743" s="676">
        <f t="shared" si="44"/>
        <v>3994868.3559322059</v>
      </c>
      <c r="E743" s="732">
        <f t="shared" si="47"/>
        <v>92903.91525423729</v>
      </c>
      <c r="F743" s="676">
        <f t="shared" si="42"/>
        <v>3901964.4406779688</v>
      </c>
      <c r="G743" s="1277">
        <f t="shared" si="45"/>
        <v>518963.23359422543</v>
      </c>
      <c r="H743" s="1280">
        <f t="shared" si="46"/>
        <v>518963.23359422543</v>
      </c>
      <c r="I743" s="729">
        <f t="shared" si="43"/>
        <v>0</v>
      </c>
      <c r="J743" s="729"/>
      <c r="K743" s="881"/>
      <c r="L743" s="735"/>
      <c r="M743" s="881"/>
      <c r="N743" s="735"/>
      <c r="O743" s="735"/>
    </row>
    <row r="744" spans="2:15">
      <c r="B744" s="334"/>
      <c r="C744" s="725">
        <f>IF(D720="","-",+C743+1)</f>
        <v>2033</v>
      </c>
      <c r="D744" s="676">
        <f t="shared" si="44"/>
        <v>3901964.4406779688</v>
      </c>
      <c r="E744" s="732">
        <f t="shared" si="47"/>
        <v>92903.91525423729</v>
      </c>
      <c r="F744" s="676">
        <f t="shared" si="42"/>
        <v>3809060.5254237317</v>
      </c>
      <c r="G744" s="1277">
        <f t="shared" si="45"/>
        <v>508938.30845681397</v>
      </c>
      <c r="H744" s="1280">
        <f t="shared" si="46"/>
        <v>508938.30845681397</v>
      </c>
      <c r="I744" s="729">
        <f t="shared" si="43"/>
        <v>0</v>
      </c>
      <c r="J744" s="729"/>
      <c r="K744" s="881"/>
      <c r="L744" s="735"/>
      <c r="M744" s="881"/>
      <c r="N744" s="735"/>
      <c r="O744" s="735"/>
    </row>
    <row r="745" spans="2:15">
      <c r="B745" s="334"/>
      <c r="C745" s="725">
        <f>IF(D720="","-",+C744+1)</f>
        <v>2034</v>
      </c>
      <c r="D745" s="676">
        <f t="shared" si="44"/>
        <v>3809060.5254237317</v>
      </c>
      <c r="E745" s="732">
        <f t="shared" si="47"/>
        <v>92903.91525423729</v>
      </c>
      <c r="F745" s="676">
        <f t="shared" si="42"/>
        <v>3716156.6101694945</v>
      </c>
      <c r="G745" s="1277">
        <f t="shared" si="45"/>
        <v>498913.38331940252</v>
      </c>
      <c r="H745" s="1280">
        <f t="shared" si="46"/>
        <v>498913.38331940252</v>
      </c>
      <c r="I745" s="729">
        <f t="shared" si="43"/>
        <v>0</v>
      </c>
      <c r="J745" s="729"/>
      <c r="K745" s="881"/>
      <c r="L745" s="735"/>
      <c r="M745" s="881"/>
      <c r="N745" s="735"/>
      <c r="O745" s="735"/>
    </row>
    <row r="746" spans="2:15">
      <c r="B746" s="334"/>
      <c r="C746" s="725">
        <f>IF(D720="","-",+C745+1)</f>
        <v>2035</v>
      </c>
      <c r="D746" s="676">
        <f t="shared" si="44"/>
        <v>3716156.6101694945</v>
      </c>
      <c r="E746" s="732">
        <f t="shared" si="47"/>
        <v>92903.91525423729</v>
      </c>
      <c r="F746" s="676">
        <f t="shared" si="42"/>
        <v>3623252.6949152574</v>
      </c>
      <c r="G746" s="1277">
        <f t="shared" si="45"/>
        <v>488888.45818199107</v>
      </c>
      <c r="H746" s="1280">
        <f t="shared" si="46"/>
        <v>488888.45818199107</v>
      </c>
      <c r="I746" s="729">
        <f t="shared" si="43"/>
        <v>0</v>
      </c>
      <c r="J746" s="729"/>
      <c r="K746" s="881"/>
      <c r="L746" s="735"/>
      <c r="M746" s="881"/>
      <c r="N746" s="735"/>
      <c r="O746" s="735"/>
    </row>
    <row r="747" spans="2:15">
      <c r="B747" s="334"/>
      <c r="C747" s="725">
        <f>IF(D720="","-",+C746+1)</f>
        <v>2036</v>
      </c>
      <c r="D747" s="676">
        <f t="shared" si="44"/>
        <v>3623252.6949152574</v>
      </c>
      <c r="E747" s="732">
        <f t="shared" si="47"/>
        <v>92903.91525423729</v>
      </c>
      <c r="F747" s="676">
        <f t="shared" si="42"/>
        <v>3530348.7796610203</v>
      </c>
      <c r="G747" s="1277">
        <f t="shared" si="45"/>
        <v>478863.53304457961</v>
      </c>
      <c r="H747" s="1280">
        <f t="shared" si="46"/>
        <v>478863.53304457961</v>
      </c>
      <c r="I747" s="729">
        <f t="shared" si="43"/>
        <v>0</v>
      </c>
      <c r="J747" s="729"/>
      <c r="K747" s="881"/>
      <c r="L747" s="735"/>
      <c r="M747" s="881"/>
      <c r="N747" s="735"/>
      <c r="O747" s="735"/>
    </row>
    <row r="748" spans="2:15">
      <c r="B748" s="334"/>
      <c r="C748" s="725">
        <f>IF(D720="","-",+C747+1)</f>
        <v>2037</v>
      </c>
      <c r="D748" s="676">
        <f t="shared" si="44"/>
        <v>3530348.7796610203</v>
      </c>
      <c r="E748" s="732">
        <f t="shared" si="47"/>
        <v>92903.91525423729</v>
      </c>
      <c r="F748" s="676">
        <f t="shared" si="42"/>
        <v>3437444.8644067831</v>
      </c>
      <c r="G748" s="1277">
        <f t="shared" si="45"/>
        <v>468838.6079071681</v>
      </c>
      <c r="H748" s="1280">
        <f t="shared" si="46"/>
        <v>468838.6079071681</v>
      </c>
      <c r="I748" s="729">
        <f t="shared" si="43"/>
        <v>0</v>
      </c>
      <c r="J748" s="729"/>
      <c r="K748" s="881"/>
      <c r="L748" s="735"/>
      <c r="M748" s="881"/>
      <c r="N748" s="735"/>
      <c r="O748" s="735"/>
    </row>
    <row r="749" spans="2:15">
      <c r="B749" s="334"/>
      <c r="C749" s="725">
        <f>IF(D720="","-",+C748+1)</f>
        <v>2038</v>
      </c>
      <c r="D749" s="676">
        <f t="shared" si="44"/>
        <v>3437444.8644067831</v>
      </c>
      <c r="E749" s="732">
        <f t="shared" si="47"/>
        <v>92903.91525423729</v>
      </c>
      <c r="F749" s="676">
        <f t="shared" si="42"/>
        <v>3344540.949152546</v>
      </c>
      <c r="G749" s="1277">
        <f t="shared" si="45"/>
        <v>458813.68276975665</v>
      </c>
      <c r="H749" s="1280">
        <f t="shared" si="46"/>
        <v>458813.68276975665</v>
      </c>
      <c r="I749" s="729">
        <f t="shared" si="43"/>
        <v>0</v>
      </c>
      <c r="J749" s="729"/>
      <c r="K749" s="881"/>
      <c r="L749" s="735"/>
      <c r="M749" s="881"/>
      <c r="N749" s="735"/>
      <c r="O749" s="735"/>
    </row>
    <row r="750" spans="2:15">
      <c r="B750" s="334"/>
      <c r="C750" s="725">
        <f>IF(D720="","-",+C749+1)</f>
        <v>2039</v>
      </c>
      <c r="D750" s="676">
        <f t="shared" si="44"/>
        <v>3344540.949152546</v>
      </c>
      <c r="E750" s="732">
        <f t="shared" si="47"/>
        <v>92903.91525423729</v>
      </c>
      <c r="F750" s="676">
        <f t="shared" si="42"/>
        <v>3251637.0338983089</v>
      </c>
      <c r="G750" s="1277">
        <f t="shared" si="45"/>
        <v>448788.75763234519</v>
      </c>
      <c r="H750" s="1280">
        <f t="shared" si="46"/>
        <v>448788.75763234519</v>
      </c>
      <c r="I750" s="729">
        <f t="shared" si="43"/>
        <v>0</v>
      </c>
      <c r="J750" s="729"/>
      <c r="K750" s="881"/>
      <c r="L750" s="735"/>
      <c r="M750" s="881"/>
      <c r="N750" s="735"/>
      <c r="O750" s="735"/>
    </row>
    <row r="751" spans="2:15">
      <c r="B751" s="334"/>
      <c r="C751" s="725">
        <f>IF(D720="","-",+C750+1)</f>
        <v>2040</v>
      </c>
      <c r="D751" s="676">
        <f t="shared" si="44"/>
        <v>3251637.0338983089</v>
      </c>
      <c r="E751" s="732">
        <f t="shared" si="47"/>
        <v>92903.91525423729</v>
      </c>
      <c r="F751" s="676">
        <f t="shared" si="42"/>
        <v>3158733.1186440717</v>
      </c>
      <c r="G751" s="1277">
        <f t="shared" si="45"/>
        <v>438763.83249493374</v>
      </c>
      <c r="H751" s="1280">
        <f t="shared" si="46"/>
        <v>438763.83249493374</v>
      </c>
      <c r="I751" s="729">
        <f t="shared" si="43"/>
        <v>0</v>
      </c>
      <c r="J751" s="729"/>
      <c r="K751" s="881"/>
      <c r="L751" s="735"/>
      <c r="M751" s="881"/>
      <c r="N751" s="735"/>
      <c r="O751" s="735"/>
    </row>
    <row r="752" spans="2:15">
      <c r="B752" s="334"/>
      <c r="C752" s="725">
        <f>IF(D720="","-",+C751+1)</f>
        <v>2041</v>
      </c>
      <c r="D752" s="676">
        <f t="shared" si="44"/>
        <v>3158733.1186440717</v>
      </c>
      <c r="E752" s="732">
        <f t="shared" si="47"/>
        <v>92903.91525423729</v>
      </c>
      <c r="F752" s="676">
        <f t="shared" si="42"/>
        <v>3065829.2033898346</v>
      </c>
      <c r="G752" s="1277">
        <f t="shared" si="45"/>
        <v>428738.90735752229</v>
      </c>
      <c r="H752" s="1280">
        <f t="shared" si="46"/>
        <v>428738.90735752229</v>
      </c>
      <c r="I752" s="729">
        <f t="shared" si="43"/>
        <v>0</v>
      </c>
      <c r="J752" s="729"/>
      <c r="K752" s="881"/>
      <c r="L752" s="735"/>
      <c r="M752" s="881"/>
      <c r="N752" s="735"/>
      <c r="O752" s="735"/>
    </row>
    <row r="753" spans="2:15">
      <c r="B753" s="334"/>
      <c r="C753" s="725">
        <f>IF(D720="","-",+C752+1)</f>
        <v>2042</v>
      </c>
      <c r="D753" s="676">
        <f t="shared" si="44"/>
        <v>3065829.2033898346</v>
      </c>
      <c r="E753" s="732">
        <f t="shared" si="47"/>
        <v>92903.91525423729</v>
      </c>
      <c r="F753" s="676">
        <f t="shared" si="42"/>
        <v>2972925.2881355975</v>
      </c>
      <c r="G753" s="1277">
        <f t="shared" si="45"/>
        <v>418713.98222011083</v>
      </c>
      <c r="H753" s="1280">
        <f t="shared" si="46"/>
        <v>418713.98222011083</v>
      </c>
      <c r="I753" s="729">
        <f t="shared" si="43"/>
        <v>0</v>
      </c>
      <c r="J753" s="729"/>
      <c r="K753" s="881"/>
      <c r="L753" s="735"/>
      <c r="M753" s="881"/>
      <c r="N753" s="735"/>
      <c r="O753" s="735"/>
    </row>
    <row r="754" spans="2:15">
      <c r="B754" s="334"/>
      <c r="C754" s="725">
        <f>IF(D720="","-",+C753+1)</f>
        <v>2043</v>
      </c>
      <c r="D754" s="676">
        <f t="shared" si="44"/>
        <v>2972925.2881355975</v>
      </c>
      <c r="E754" s="732">
        <f t="shared" si="47"/>
        <v>92903.91525423729</v>
      </c>
      <c r="F754" s="676">
        <f t="shared" si="42"/>
        <v>2880021.3728813604</v>
      </c>
      <c r="G754" s="1286">
        <f t="shared" si="45"/>
        <v>408689.05708269938</v>
      </c>
      <c r="H754" s="1280">
        <f t="shared" si="46"/>
        <v>408689.05708269938</v>
      </c>
      <c r="I754" s="729">
        <f t="shared" si="43"/>
        <v>0</v>
      </c>
      <c r="J754" s="729"/>
      <c r="K754" s="881"/>
      <c r="L754" s="735"/>
      <c r="M754" s="881"/>
      <c r="N754" s="735"/>
      <c r="O754" s="735"/>
    </row>
    <row r="755" spans="2:15">
      <c r="B755" s="334"/>
      <c r="C755" s="725">
        <f>IF(D720="","-",+C754+1)</f>
        <v>2044</v>
      </c>
      <c r="D755" s="676">
        <f t="shared" si="44"/>
        <v>2880021.3728813604</v>
      </c>
      <c r="E755" s="732">
        <f t="shared" si="47"/>
        <v>92903.91525423729</v>
      </c>
      <c r="F755" s="676">
        <f t="shared" si="42"/>
        <v>2787117.4576271232</v>
      </c>
      <c r="G755" s="1277">
        <f t="shared" si="45"/>
        <v>398664.13194528793</v>
      </c>
      <c r="H755" s="1280">
        <f t="shared" si="46"/>
        <v>398664.13194528793</v>
      </c>
      <c r="I755" s="729">
        <f t="shared" si="43"/>
        <v>0</v>
      </c>
      <c r="J755" s="729"/>
      <c r="K755" s="881"/>
      <c r="L755" s="735"/>
      <c r="M755" s="881"/>
      <c r="N755" s="735"/>
      <c r="O755" s="735"/>
    </row>
    <row r="756" spans="2:15">
      <c r="B756" s="334"/>
      <c r="C756" s="725">
        <f>IF(D720="","-",+C755+1)</f>
        <v>2045</v>
      </c>
      <c r="D756" s="676">
        <f t="shared" si="44"/>
        <v>2787117.4576271232</v>
      </c>
      <c r="E756" s="732">
        <f t="shared" si="47"/>
        <v>92903.91525423729</v>
      </c>
      <c r="F756" s="676">
        <f t="shared" si="42"/>
        <v>2694213.5423728861</v>
      </c>
      <c r="G756" s="1277">
        <f t="shared" si="45"/>
        <v>388639.20680787641</v>
      </c>
      <c r="H756" s="1280">
        <f t="shared" si="46"/>
        <v>388639.20680787641</v>
      </c>
      <c r="I756" s="729">
        <f t="shared" si="43"/>
        <v>0</v>
      </c>
      <c r="J756" s="729"/>
      <c r="K756" s="881"/>
      <c r="L756" s="735"/>
      <c r="M756" s="881"/>
      <c r="N756" s="735"/>
      <c r="O756" s="735"/>
    </row>
    <row r="757" spans="2:15">
      <c r="B757" s="334"/>
      <c r="C757" s="725">
        <f>IF(D720="","-",+C756+1)</f>
        <v>2046</v>
      </c>
      <c r="D757" s="676">
        <f t="shared" si="44"/>
        <v>2694213.5423728861</v>
      </c>
      <c r="E757" s="732">
        <f t="shared" si="47"/>
        <v>92903.91525423729</v>
      </c>
      <c r="F757" s="676">
        <f t="shared" si="42"/>
        <v>2601309.627118649</v>
      </c>
      <c r="G757" s="1277">
        <f t="shared" si="45"/>
        <v>378614.28167046496</v>
      </c>
      <c r="H757" s="1280">
        <f t="shared" si="46"/>
        <v>378614.28167046496</v>
      </c>
      <c r="I757" s="729">
        <f t="shared" si="43"/>
        <v>0</v>
      </c>
      <c r="J757" s="729"/>
      <c r="K757" s="881"/>
      <c r="L757" s="735"/>
      <c r="M757" s="881"/>
      <c r="N757" s="735"/>
      <c r="O757" s="735"/>
    </row>
    <row r="758" spans="2:15">
      <c r="B758" s="334"/>
      <c r="C758" s="725">
        <f>IF(D720="","-",+C757+1)</f>
        <v>2047</v>
      </c>
      <c r="D758" s="676">
        <f t="shared" si="44"/>
        <v>2601309.627118649</v>
      </c>
      <c r="E758" s="732">
        <f t="shared" si="47"/>
        <v>92903.91525423729</v>
      </c>
      <c r="F758" s="676">
        <f t="shared" si="42"/>
        <v>2508405.7118644118</v>
      </c>
      <c r="G758" s="1277">
        <f t="shared" si="45"/>
        <v>368589.35653305351</v>
      </c>
      <c r="H758" s="1280">
        <f t="shared" si="46"/>
        <v>368589.35653305351</v>
      </c>
      <c r="I758" s="729">
        <f t="shared" si="43"/>
        <v>0</v>
      </c>
      <c r="J758" s="729"/>
      <c r="K758" s="881"/>
      <c r="L758" s="735"/>
      <c r="M758" s="881"/>
      <c r="N758" s="735"/>
      <c r="O758" s="735"/>
    </row>
    <row r="759" spans="2:15">
      <c r="B759" s="334"/>
      <c r="C759" s="725">
        <f>IF(D720="","-",+C758+1)</f>
        <v>2048</v>
      </c>
      <c r="D759" s="676">
        <f t="shared" si="44"/>
        <v>2508405.7118644118</v>
      </c>
      <c r="E759" s="732">
        <f t="shared" si="47"/>
        <v>92903.91525423729</v>
      </c>
      <c r="F759" s="676">
        <f t="shared" si="42"/>
        <v>2415501.7966101747</v>
      </c>
      <c r="G759" s="1277">
        <f t="shared" si="45"/>
        <v>358564.43139564205</v>
      </c>
      <c r="H759" s="1280">
        <f t="shared" si="46"/>
        <v>358564.43139564205</v>
      </c>
      <c r="I759" s="729">
        <f t="shared" si="43"/>
        <v>0</v>
      </c>
      <c r="J759" s="729"/>
      <c r="K759" s="881"/>
      <c r="L759" s="735"/>
      <c r="M759" s="881"/>
      <c r="N759" s="735"/>
      <c r="O759" s="735"/>
    </row>
    <row r="760" spans="2:15">
      <c r="B760" s="334"/>
      <c r="C760" s="725">
        <f>IF(D720="","-",+C759+1)</f>
        <v>2049</v>
      </c>
      <c r="D760" s="676">
        <f t="shared" si="44"/>
        <v>2415501.7966101747</v>
      </c>
      <c r="E760" s="732">
        <f t="shared" si="47"/>
        <v>92903.91525423729</v>
      </c>
      <c r="F760" s="676">
        <f t="shared" si="42"/>
        <v>2322597.8813559376</v>
      </c>
      <c r="G760" s="1277">
        <f t="shared" si="45"/>
        <v>348539.5062582306</v>
      </c>
      <c r="H760" s="1280">
        <f t="shared" si="46"/>
        <v>348539.5062582306</v>
      </c>
      <c r="I760" s="729">
        <f t="shared" si="43"/>
        <v>0</v>
      </c>
      <c r="J760" s="729"/>
      <c r="K760" s="881"/>
      <c r="L760" s="735"/>
      <c r="M760" s="881"/>
      <c r="N760" s="735"/>
      <c r="O760" s="735"/>
    </row>
    <row r="761" spans="2:15">
      <c r="B761" s="334"/>
      <c r="C761" s="725">
        <f>IF(D720="","-",+C760+1)</f>
        <v>2050</v>
      </c>
      <c r="D761" s="676">
        <f t="shared" si="44"/>
        <v>2322597.8813559376</v>
      </c>
      <c r="E761" s="732">
        <f t="shared" si="47"/>
        <v>92903.91525423729</v>
      </c>
      <c r="F761" s="676">
        <f t="shared" si="42"/>
        <v>2229693.9661017004</v>
      </c>
      <c r="G761" s="1277">
        <f t="shared" si="45"/>
        <v>338514.58112081909</v>
      </c>
      <c r="H761" s="1280">
        <f t="shared" si="46"/>
        <v>338514.58112081909</v>
      </c>
      <c r="I761" s="729">
        <f t="shared" si="43"/>
        <v>0</v>
      </c>
      <c r="J761" s="729"/>
      <c r="K761" s="881"/>
      <c r="L761" s="735"/>
      <c r="M761" s="881"/>
      <c r="N761" s="735"/>
      <c r="O761" s="735"/>
    </row>
    <row r="762" spans="2:15">
      <c r="B762" s="334"/>
      <c r="C762" s="725">
        <f>IF(D720="","-",+C761+1)</f>
        <v>2051</v>
      </c>
      <c r="D762" s="676">
        <f t="shared" si="44"/>
        <v>2229693.9661017004</v>
      </c>
      <c r="E762" s="732">
        <f t="shared" si="47"/>
        <v>92903.91525423729</v>
      </c>
      <c r="F762" s="676">
        <f t="shared" si="42"/>
        <v>2136790.0508474633</v>
      </c>
      <c r="G762" s="1277">
        <f t="shared" si="45"/>
        <v>328489.65598340763</v>
      </c>
      <c r="H762" s="1280">
        <f t="shared" si="46"/>
        <v>328489.65598340763</v>
      </c>
      <c r="I762" s="729">
        <f t="shared" si="43"/>
        <v>0</v>
      </c>
      <c r="J762" s="729"/>
      <c r="K762" s="881"/>
      <c r="L762" s="735"/>
      <c r="M762" s="881"/>
      <c r="N762" s="735"/>
      <c r="O762" s="735"/>
    </row>
    <row r="763" spans="2:15">
      <c r="B763" s="334"/>
      <c r="C763" s="725">
        <f>IF(D720="","-",+C762+1)</f>
        <v>2052</v>
      </c>
      <c r="D763" s="676">
        <f t="shared" si="44"/>
        <v>2136790.0508474633</v>
      </c>
      <c r="E763" s="732">
        <f t="shared" si="47"/>
        <v>92903.91525423729</v>
      </c>
      <c r="F763" s="676">
        <f t="shared" si="42"/>
        <v>2043886.1355932259</v>
      </c>
      <c r="G763" s="1277">
        <f t="shared" si="45"/>
        <v>318464.73084599618</v>
      </c>
      <c r="H763" s="1280">
        <f t="shared" si="46"/>
        <v>318464.73084599618</v>
      </c>
      <c r="I763" s="729">
        <f t="shared" si="43"/>
        <v>0</v>
      </c>
      <c r="J763" s="729"/>
      <c r="K763" s="881"/>
      <c r="L763" s="735"/>
      <c r="M763" s="881"/>
      <c r="N763" s="735"/>
      <c r="O763" s="735"/>
    </row>
    <row r="764" spans="2:15">
      <c r="B764" s="334"/>
      <c r="C764" s="725">
        <f>IF(D720="","-",+C763+1)</f>
        <v>2053</v>
      </c>
      <c r="D764" s="676">
        <f t="shared" si="44"/>
        <v>2043886.1355932259</v>
      </c>
      <c r="E764" s="732">
        <f t="shared" si="47"/>
        <v>92903.91525423729</v>
      </c>
      <c r="F764" s="676">
        <f t="shared" si="42"/>
        <v>1950982.2203389886</v>
      </c>
      <c r="G764" s="1277">
        <f t="shared" si="45"/>
        <v>308439.80570858467</v>
      </c>
      <c r="H764" s="1280">
        <f t="shared" si="46"/>
        <v>308439.80570858467</v>
      </c>
      <c r="I764" s="729">
        <f t="shared" si="43"/>
        <v>0</v>
      </c>
      <c r="J764" s="729"/>
      <c r="K764" s="881"/>
      <c r="L764" s="735"/>
      <c r="M764" s="881"/>
      <c r="N764" s="735"/>
      <c r="O764" s="735"/>
    </row>
    <row r="765" spans="2:15">
      <c r="B765" s="334"/>
      <c r="C765" s="725">
        <f>IF(D720="","-",+C764+1)</f>
        <v>2054</v>
      </c>
      <c r="D765" s="676">
        <f t="shared" si="44"/>
        <v>1950982.2203389886</v>
      </c>
      <c r="E765" s="732">
        <f t="shared" si="47"/>
        <v>92903.91525423729</v>
      </c>
      <c r="F765" s="676">
        <f t="shared" si="42"/>
        <v>1858078.3050847512</v>
      </c>
      <c r="G765" s="1277">
        <f t="shared" si="45"/>
        <v>298414.88057117321</v>
      </c>
      <c r="H765" s="1280">
        <f t="shared" si="46"/>
        <v>298414.88057117321</v>
      </c>
      <c r="I765" s="729">
        <f t="shared" si="43"/>
        <v>0</v>
      </c>
      <c r="J765" s="729"/>
      <c r="K765" s="881"/>
      <c r="L765" s="735"/>
      <c r="M765" s="881"/>
      <c r="N765" s="735"/>
      <c r="O765" s="735"/>
    </row>
    <row r="766" spans="2:15">
      <c r="B766" s="334"/>
      <c r="C766" s="725">
        <f>IF(D720="","-",+C765+1)</f>
        <v>2055</v>
      </c>
      <c r="D766" s="676">
        <f t="shared" si="44"/>
        <v>1858078.3050847512</v>
      </c>
      <c r="E766" s="732">
        <f t="shared" si="47"/>
        <v>92903.91525423729</v>
      </c>
      <c r="F766" s="676">
        <f t="shared" si="42"/>
        <v>1765174.3898305139</v>
      </c>
      <c r="G766" s="1277">
        <f t="shared" si="45"/>
        <v>288389.9554337617</v>
      </c>
      <c r="H766" s="1280">
        <f t="shared" si="46"/>
        <v>288389.9554337617</v>
      </c>
      <c r="I766" s="729">
        <f t="shared" si="43"/>
        <v>0</v>
      </c>
      <c r="J766" s="729"/>
      <c r="K766" s="881"/>
      <c r="L766" s="735"/>
      <c r="M766" s="881"/>
      <c r="N766" s="735"/>
      <c r="O766" s="735"/>
    </row>
    <row r="767" spans="2:15">
      <c r="B767" s="334"/>
      <c r="C767" s="725">
        <f>IF(D720="","-",+C766+1)</f>
        <v>2056</v>
      </c>
      <c r="D767" s="676">
        <f t="shared" si="44"/>
        <v>1765174.3898305139</v>
      </c>
      <c r="E767" s="732">
        <f t="shared" si="47"/>
        <v>92903.91525423729</v>
      </c>
      <c r="F767" s="676">
        <f t="shared" si="42"/>
        <v>1672270.4745762765</v>
      </c>
      <c r="G767" s="1277">
        <f t="shared" si="45"/>
        <v>278365.03029635025</v>
      </c>
      <c r="H767" s="1280">
        <f t="shared" si="46"/>
        <v>278365.03029635025</v>
      </c>
      <c r="I767" s="729">
        <f t="shared" si="43"/>
        <v>0</v>
      </c>
      <c r="J767" s="729"/>
      <c r="K767" s="881"/>
      <c r="L767" s="735"/>
      <c r="M767" s="881"/>
      <c r="N767" s="735"/>
      <c r="O767" s="735"/>
    </row>
    <row r="768" spans="2:15">
      <c r="B768" s="334"/>
      <c r="C768" s="725">
        <f>IF(D720="","-",+C767+1)</f>
        <v>2057</v>
      </c>
      <c r="D768" s="676">
        <f t="shared" si="44"/>
        <v>1672270.4745762765</v>
      </c>
      <c r="E768" s="732">
        <f t="shared" si="47"/>
        <v>92903.91525423729</v>
      </c>
      <c r="F768" s="676">
        <f t="shared" si="42"/>
        <v>1579366.5593220391</v>
      </c>
      <c r="G768" s="1277">
        <f t="shared" si="45"/>
        <v>268340.10515893874</v>
      </c>
      <c r="H768" s="1280">
        <f t="shared" si="46"/>
        <v>268340.10515893874</v>
      </c>
      <c r="I768" s="729">
        <f t="shared" si="43"/>
        <v>0</v>
      </c>
      <c r="J768" s="729"/>
      <c r="K768" s="881"/>
      <c r="L768" s="735"/>
      <c r="M768" s="881"/>
      <c r="N768" s="735"/>
      <c r="O768" s="735"/>
    </row>
    <row r="769" spans="2:15">
      <c r="B769" s="334"/>
      <c r="C769" s="725">
        <f>IF(D720="","-",+C768+1)</f>
        <v>2058</v>
      </c>
      <c r="D769" s="676">
        <f t="shared" si="44"/>
        <v>1579366.5593220391</v>
      </c>
      <c r="E769" s="732">
        <f t="shared" si="47"/>
        <v>92903.91525423729</v>
      </c>
      <c r="F769" s="676">
        <f t="shared" si="42"/>
        <v>1486462.6440678018</v>
      </c>
      <c r="G769" s="1277">
        <f t="shared" si="45"/>
        <v>258315.18002152728</v>
      </c>
      <c r="H769" s="1280">
        <f t="shared" si="46"/>
        <v>258315.18002152728</v>
      </c>
      <c r="I769" s="729">
        <f t="shared" si="43"/>
        <v>0</v>
      </c>
      <c r="J769" s="729"/>
      <c r="K769" s="881"/>
      <c r="L769" s="735"/>
      <c r="M769" s="881"/>
      <c r="N769" s="735"/>
      <c r="O769" s="735"/>
    </row>
    <row r="770" spans="2:15">
      <c r="B770" s="334"/>
      <c r="C770" s="725">
        <f>IF(D720="","-",+C769+1)</f>
        <v>2059</v>
      </c>
      <c r="D770" s="676">
        <f t="shared" si="44"/>
        <v>1486462.6440678018</v>
      </c>
      <c r="E770" s="732">
        <f t="shared" si="47"/>
        <v>92903.91525423729</v>
      </c>
      <c r="F770" s="676">
        <f t="shared" si="42"/>
        <v>1393558.7288135644</v>
      </c>
      <c r="G770" s="1277">
        <f t="shared" si="45"/>
        <v>248290.25488411577</v>
      </c>
      <c r="H770" s="1280">
        <f t="shared" si="46"/>
        <v>248290.25488411577</v>
      </c>
      <c r="I770" s="729">
        <f t="shared" si="43"/>
        <v>0</v>
      </c>
      <c r="J770" s="729"/>
      <c r="K770" s="881"/>
      <c r="L770" s="735"/>
      <c r="M770" s="881"/>
      <c r="N770" s="735"/>
      <c r="O770" s="735"/>
    </row>
    <row r="771" spans="2:15">
      <c r="B771" s="334"/>
      <c r="C771" s="725">
        <f>IF(D720="","-",+C770+1)</f>
        <v>2060</v>
      </c>
      <c r="D771" s="676">
        <f t="shared" si="44"/>
        <v>1393558.7288135644</v>
      </c>
      <c r="E771" s="732">
        <f t="shared" si="47"/>
        <v>92903.91525423729</v>
      </c>
      <c r="F771" s="676">
        <f t="shared" si="42"/>
        <v>1300654.813559327</v>
      </c>
      <c r="G771" s="1277">
        <f t="shared" si="45"/>
        <v>238265.32974670432</v>
      </c>
      <c r="H771" s="1280">
        <f t="shared" si="46"/>
        <v>238265.32974670432</v>
      </c>
      <c r="I771" s="729">
        <f t="shared" si="43"/>
        <v>0</v>
      </c>
      <c r="J771" s="729"/>
      <c r="K771" s="881"/>
      <c r="L771" s="735"/>
      <c r="M771" s="881"/>
      <c r="N771" s="735"/>
      <c r="O771" s="735"/>
    </row>
    <row r="772" spans="2:15">
      <c r="B772" s="334"/>
      <c r="C772" s="725">
        <f>IF(D720="","-",+C771+1)</f>
        <v>2061</v>
      </c>
      <c r="D772" s="676">
        <f t="shared" si="44"/>
        <v>1300654.813559327</v>
      </c>
      <c r="E772" s="732">
        <f t="shared" si="47"/>
        <v>92903.91525423729</v>
      </c>
      <c r="F772" s="676">
        <f t="shared" si="42"/>
        <v>1207750.8983050897</v>
      </c>
      <c r="G772" s="1277">
        <f t="shared" si="45"/>
        <v>228240.4046092928</v>
      </c>
      <c r="H772" s="1280">
        <f t="shared" si="46"/>
        <v>228240.4046092928</v>
      </c>
      <c r="I772" s="729">
        <f t="shared" si="43"/>
        <v>0</v>
      </c>
      <c r="J772" s="729"/>
      <c r="K772" s="881"/>
      <c r="L772" s="735"/>
      <c r="M772" s="881"/>
      <c r="N772" s="735"/>
      <c r="O772" s="735"/>
    </row>
    <row r="773" spans="2:15">
      <c r="B773" s="334"/>
      <c r="C773" s="725">
        <f>IF(D720="","-",+C772+1)</f>
        <v>2062</v>
      </c>
      <c r="D773" s="676">
        <f t="shared" si="44"/>
        <v>1207750.8983050897</v>
      </c>
      <c r="E773" s="732">
        <f t="shared" si="47"/>
        <v>92903.91525423729</v>
      </c>
      <c r="F773" s="676">
        <f t="shared" si="42"/>
        <v>1114846.9830508523</v>
      </c>
      <c r="G773" s="1277">
        <f t="shared" si="45"/>
        <v>218215.47947188132</v>
      </c>
      <c r="H773" s="1280">
        <f t="shared" si="46"/>
        <v>218215.47947188132</v>
      </c>
      <c r="I773" s="729">
        <f t="shared" si="43"/>
        <v>0</v>
      </c>
      <c r="J773" s="729"/>
      <c r="K773" s="881"/>
      <c r="L773" s="735"/>
      <c r="M773" s="881"/>
      <c r="N773" s="735"/>
      <c r="O773" s="735"/>
    </row>
    <row r="774" spans="2:15">
      <c r="B774" s="334"/>
      <c r="C774" s="725">
        <f>IF(D720="","-",+C773+1)</f>
        <v>2063</v>
      </c>
      <c r="D774" s="676">
        <f t="shared" si="44"/>
        <v>1114846.9830508523</v>
      </c>
      <c r="E774" s="732">
        <f t="shared" si="47"/>
        <v>92903.91525423729</v>
      </c>
      <c r="F774" s="676">
        <f t="shared" si="42"/>
        <v>1021943.0677966151</v>
      </c>
      <c r="G774" s="1277">
        <f t="shared" si="45"/>
        <v>208190.55433446984</v>
      </c>
      <c r="H774" s="1280">
        <f t="shared" si="46"/>
        <v>208190.55433446984</v>
      </c>
      <c r="I774" s="729">
        <f t="shared" si="43"/>
        <v>0</v>
      </c>
      <c r="J774" s="729"/>
      <c r="K774" s="881"/>
      <c r="L774" s="735"/>
      <c r="M774" s="881"/>
      <c r="N774" s="735"/>
      <c r="O774" s="735"/>
    </row>
    <row r="775" spans="2:15">
      <c r="B775" s="334"/>
      <c r="C775" s="725">
        <f>IF(D720="","-",+C774+1)</f>
        <v>2064</v>
      </c>
      <c r="D775" s="676">
        <f t="shared" si="44"/>
        <v>1021943.0677966151</v>
      </c>
      <c r="E775" s="732">
        <f t="shared" si="47"/>
        <v>92903.91525423729</v>
      </c>
      <c r="F775" s="676">
        <f t="shared" si="42"/>
        <v>929039.15254237782</v>
      </c>
      <c r="G775" s="1277">
        <f t="shared" si="45"/>
        <v>198165.62919705833</v>
      </c>
      <c r="H775" s="1280">
        <f t="shared" si="46"/>
        <v>198165.62919705833</v>
      </c>
      <c r="I775" s="729">
        <f t="shared" si="43"/>
        <v>0</v>
      </c>
      <c r="J775" s="729"/>
      <c r="K775" s="881"/>
      <c r="L775" s="735"/>
      <c r="M775" s="881"/>
      <c r="N775" s="735"/>
      <c r="O775" s="735"/>
    </row>
    <row r="776" spans="2:15">
      <c r="B776" s="334"/>
      <c r="C776" s="725">
        <f>IF(D720="","-",+C775+1)</f>
        <v>2065</v>
      </c>
      <c r="D776" s="676">
        <f t="shared" si="44"/>
        <v>929039.15254237782</v>
      </c>
      <c r="E776" s="732">
        <f t="shared" si="47"/>
        <v>92903.91525423729</v>
      </c>
      <c r="F776" s="676">
        <f t="shared" si="42"/>
        <v>836135.23728814058</v>
      </c>
      <c r="G776" s="1277">
        <f t="shared" si="45"/>
        <v>188140.70405964687</v>
      </c>
      <c r="H776" s="1280">
        <f t="shared" si="46"/>
        <v>188140.70405964687</v>
      </c>
      <c r="I776" s="729">
        <f t="shared" si="43"/>
        <v>0</v>
      </c>
      <c r="J776" s="729"/>
      <c r="K776" s="881"/>
      <c r="L776" s="735"/>
      <c r="M776" s="881"/>
      <c r="N776" s="735"/>
      <c r="O776" s="735"/>
    </row>
    <row r="777" spans="2:15">
      <c r="B777" s="334"/>
      <c r="C777" s="725">
        <f>IF(D720="","-",+C776+1)</f>
        <v>2066</v>
      </c>
      <c r="D777" s="676">
        <f t="shared" si="44"/>
        <v>836135.23728814058</v>
      </c>
      <c r="E777" s="732">
        <f t="shared" si="47"/>
        <v>92903.91525423729</v>
      </c>
      <c r="F777" s="676">
        <f t="shared" si="42"/>
        <v>743231.32203390333</v>
      </c>
      <c r="G777" s="1277">
        <f t="shared" si="45"/>
        <v>178115.77892223539</v>
      </c>
      <c r="H777" s="1280">
        <f t="shared" si="46"/>
        <v>178115.77892223539</v>
      </c>
      <c r="I777" s="729">
        <f t="shared" si="43"/>
        <v>0</v>
      </c>
      <c r="J777" s="729"/>
      <c r="K777" s="881"/>
      <c r="L777" s="735"/>
      <c r="M777" s="881"/>
      <c r="N777" s="735"/>
      <c r="O777" s="735"/>
    </row>
    <row r="778" spans="2:15">
      <c r="B778" s="334"/>
      <c r="C778" s="725">
        <f>IF(D720="","-",+C777+1)</f>
        <v>2067</v>
      </c>
      <c r="D778" s="676">
        <f t="shared" si="44"/>
        <v>743231.32203390333</v>
      </c>
      <c r="E778" s="732">
        <f t="shared" si="47"/>
        <v>92903.91525423729</v>
      </c>
      <c r="F778" s="676">
        <f t="shared" si="42"/>
        <v>650327.40677966608</v>
      </c>
      <c r="G778" s="1277">
        <f t="shared" si="45"/>
        <v>168090.85378482394</v>
      </c>
      <c r="H778" s="1280">
        <f t="shared" si="46"/>
        <v>168090.85378482394</v>
      </c>
      <c r="I778" s="729">
        <f t="shared" si="43"/>
        <v>0</v>
      </c>
      <c r="J778" s="729"/>
      <c r="K778" s="881"/>
      <c r="L778" s="735"/>
      <c r="M778" s="881"/>
      <c r="N778" s="735"/>
      <c r="O778" s="735"/>
    </row>
    <row r="779" spans="2:15">
      <c r="B779" s="334"/>
      <c r="C779" s="725">
        <f>IF(D720="","-",+C778+1)</f>
        <v>2068</v>
      </c>
      <c r="D779" s="676">
        <f t="shared" si="44"/>
        <v>650327.40677966608</v>
      </c>
      <c r="E779" s="732">
        <f t="shared" si="47"/>
        <v>92903.91525423729</v>
      </c>
      <c r="F779" s="676">
        <f t="shared" si="42"/>
        <v>557423.49152542884</v>
      </c>
      <c r="G779" s="1277">
        <f t="shared" si="45"/>
        <v>158065.92864741245</v>
      </c>
      <c r="H779" s="1280">
        <f t="shared" si="46"/>
        <v>158065.92864741245</v>
      </c>
      <c r="I779" s="729">
        <f t="shared" si="43"/>
        <v>0</v>
      </c>
      <c r="J779" s="729"/>
      <c r="K779" s="881"/>
      <c r="L779" s="735"/>
      <c r="M779" s="881"/>
      <c r="N779" s="735"/>
      <c r="O779" s="735"/>
    </row>
    <row r="780" spans="2:15">
      <c r="B780" s="334"/>
      <c r="C780" s="725">
        <f>IF(D720="","-",+C779+1)</f>
        <v>2069</v>
      </c>
      <c r="D780" s="676">
        <f t="shared" si="44"/>
        <v>557423.49152542884</v>
      </c>
      <c r="E780" s="732">
        <f t="shared" si="47"/>
        <v>92903.91525423729</v>
      </c>
      <c r="F780" s="676">
        <f t="shared" si="42"/>
        <v>464519.57627119153</v>
      </c>
      <c r="G780" s="1277">
        <f t="shared" si="45"/>
        <v>148041.00351000097</v>
      </c>
      <c r="H780" s="1280">
        <f t="shared" si="46"/>
        <v>148041.00351000097</v>
      </c>
      <c r="I780" s="729">
        <f t="shared" si="43"/>
        <v>0</v>
      </c>
      <c r="J780" s="729"/>
      <c r="K780" s="881"/>
      <c r="L780" s="735"/>
      <c r="M780" s="881"/>
      <c r="N780" s="735"/>
      <c r="O780" s="735"/>
    </row>
    <row r="781" spans="2:15">
      <c r="B781" s="334"/>
      <c r="C781" s="725">
        <f>IF(D720="","-",+C780+1)</f>
        <v>2070</v>
      </c>
      <c r="D781" s="676">
        <f t="shared" si="44"/>
        <v>464519.57627119153</v>
      </c>
      <c r="E781" s="732">
        <f t="shared" si="47"/>
        <v>92903.91525423729</v>
      </c>
      <c r="F781" s="676">
        <f t="shared" si="42"/>
        <v>371615.66101695423</v>
      </c>
      <c r="G781" s="1277">
        <f t="shared" si="45"/>
        <v>138016.07837258949</v>
      </c>
      <c r="H781" s="1280">
        <f t="shared" si="46"/>
        <v>138016.07837258949</v>
      </c>
      <c r="I781" s="729">
        <f t="shared" si="43"/>
        <v>0</v>
      </c>
      <c r="J781" s="729"/>
      <c r="K781" s="881"/>
      <c r="L781" s="735"/>
      <c r="M781" s="881"/>
      <c r="N781" s="735"/>
      <c r="O781" s="735"/>
    </row>
    <row r="782" spans="2:15">
      <c r="B782" s="334"/>
      <c r="C782" s="725">
        <f>IF(D720="","-",+C781+1)</f>
        <v>2071</v>
      </c>
      <c r="D782" s="676">
        <f t="shared" si="44"/>
        <v>371615.66101695423</v>
      </c>
      <c r="E782" s="732">
        <f t="shared" si="47"/>
        <v>92903.91525423729</v>
      </c>
      <c r="F782" s="676">
        <f t="shared" si="42"/>
        <v>278711.74576271692</v>
      </c>
      <c r="G782" s="1277">
        <f t="shared" si="45"/>
        <v>127991.153235178</v>
      </c>
      <c r="H782" s="1280">
        <f t="shared" si="46"/>
        <v>127991.153235178</v>
      </c>
      <c r="I782" s="729">
        <f t="shared" si="43"/>
        <v>0</v>
      </c>
      <c r="J782" s="729"/>
      <c r="K782" s="881"/>
      <c r="L782" s="735"/>
      <c r="M782" s="881"/>
      <c r="N782" s="735"/>
      <c r="O782" s="735"/>
    </row>
    <row r="783" spans="2:15">
      <c r="B783" s="334"/>
      <c r="C783" s="725">
        <f>IF(D720="","-",+C782+1)</f>
        <v>2072</v>
      </c>
      <c r="D783" s="676">
        <f t="shared" si="44"/>
        <v>278711.74576271692</v>
      </c>
      <c r="E783" s="732">
        <f t="shared" si="47"/>
        <v>92903.91525423729</v>
      </c>
      <c r="F783" s="676">
        <f t="shared" si="42"/>
        <v>185807.83050847962</v>
      </c>
      <c r="G783" s="1277">
        <f t="shared" si="45"/>
        <v>117966.22809776654</v>
      </c>
      <c r="H783" s="1280">
        <f t="shared" si="46"/>
        <v>117966.22809776654</v>
      </c>
      <c r="I783" s="729">
        <f t="shared" si="43"/>
        <v>0</v>
      </c>
      <c r="J783" s="729"/>
      <c r="K783" s="881"/>
      <c r="L783" s="735"/>
      <c r="M783" s="881"/>
      <c r="N783" s="735"/>
      <c r="O783" s="735"/>
    </row>
    <row r="784" spans="2:15">
      <c r="B784" s="334"/>
      <c r="C784" s="725">
        <f>IF(D720="","-",+C783+1)</f>
        <v>2073</v>
      </c>
      <c r="D784" s="676">
        <f t="shared" si="44"/>
        <v>185807.83050847962</v>
      </c>
      <c r="E784" s="732">
        <f t="shared" si="47"/>
        <v>92903.91525423729</v>
      </c>
      <c r="F784" s="676">
        <f t="shared" si="42"/>
        <v>92903.915254242325</v>
      </c>
      <c r="G784" s="1277">
        <f t="shared" si="45"/>
        <v>107941.30296035505</v>
      </c>
      <c r="H784" s="1280">
        <f t="shared" si="46"/>
        <v>107941.30296035505</v>
      </c>
      <c r="I784" s="729">
        <f t="shared" si="43"/>
        <v>0</v>
      </c>
      <c r="J784" s="729"/>
      <c r="K784" s="881"/>
      <c r="L784" s="735"/>
      <c r="M784" s="881"/>
      <c r="N784" s="735"/>
      <c r="O784" s="735"/>
    </row>
    <row r="785" spans="1:16" ht="13.5" thickBot="1">
      <c r="B785" s="334"/>
      <c r="C785" s="737">
        <f>IF(D720="","-",+C784+1)</f>
        <v>2074</v>
      </c>
      <c r="D785" s="738">
        <f t="shared" si="44"/>
        <v>92903.915254242325</v>
      </c>
      <c r="E785" s="739">
        <f t="shared" si="47"/>
        <v>92903.91525423729</v>
      </c>
      <c r="F785" s="738">
        <f t="shared" si="42"/>
        <v>5.0349626690149307E-9</v>
      </c>
      <c r="G785" s="1287">
        <f t="shared" si="45"/>
        <v>97916.37782294357</v>
      </c>
      <c r="H785" s="1287">
        <f t="shared" si="46"/>
        <v>97916.37782294357</v>
      </c>
      <c r="I785" s="741">
        <f t="shared" si="43"/>
        <v>0</v>
      </c>
      <c r="J785" s="729"/>
      <c r="K785" s="882"/>
      <c r="L785" s="743"/>
      <c r="M785" s="882"/>
      <c r="N785" s="743"/>
      <c r="O785" s="743"/>
    </row>
    <row r="786" spans="1:16">
      <c r="B786" s="334"/>
      <c r="C786" s="676" t="s">
        <v>289</v>
      </c>
      <c r="D786" s="1258"/>
      <c r="E786" s="1258">
        <f>SUM(E726:E785)</f>
        <v>5481330.9999999953</v>
      </c>
      <c r="F786" s="1258"/>
      <c r="G786" s="1258">
        <f>SUM(G726:G785)</f>
        <v>23521183.784771979</v>
      </c>
      <c r="H786" s="1258">
        <f>SUM(H726:H785)</f>
        <v>23521183.784771979</v>
      </c>
      <c r="I786" s="1258">
        <f>SUM(I726:I785)</f>
        <v>0</v>
      </c>
      <c r="J786" s="1258"/>
      <c r="K786" s="1258"/>
      <c r="L786" s="1258"/>
      <c r="M786" s="1258"/>
      <c r="N786" s="1258"/>
      <c r="O786" s="543"/>
    </row>
    <row r="787" spans="1:16">
      <c r="B787" s="334"/>
      <c r="D787" s="566"/>
      <c r="E787" s="543"/>
      <c r="F787" s="543"/>
      <c r="G787" s="543"/>
      <c r="H787" s="1257"/>
      <c r="I787" s="1257"/>
      <c r="J787" s="1258"/>
      <c r="K787" s="1257"/>
      <c r="L787" s="1257"/>
      <c r="M787" s="1257"/>
      <c r="N787" s="1257"/>
      <c r="O787" s="543"/>
    </row>
    <row r="788" spans="1:16">
      <c r="B788" s="334"/>
      <c r="C788" s="543" t="s">
        <v>602</v>
      </c>
      <c r="D788" s="566"/>
      <c r="E788" s="543"/>
      <c r="F788" s="543"/>
      <c r="G788" s="543"/>
      <c r="H788" s="1257"/>
      <c r="I788" s="1257"/>
      <c r="J788" s="1258"/>
      <c r="K788" s="1257"/>
      <c r="L788" s="1257"/>
      <c r="M788" s="1257"/>
      <c r="N788" s="1257"/>
      <c r="O788" s="543"/>
    </row>
    <row r="789" spans="1:16">
      <c r="B789" s="334"/>
      <c r="D789" s="566"/>
      <c r="E789" s="543"/>
      <c r="F789" s="543"/>
      <c r="G789" s="543"/>
      <c r="H789" s="1257"/>
      <c r="I789" s="1257"/>
      <c r="J789" s="1258"/>
      <c r="K789" s="1257"/>
      <c r="L789" s="1257"/>
      <c r="M789" s="1257"/>
      <c r="N789" s="1257"/>
      <c r="O789" s="543"/>
    </row>
    <row r="790" spans="1:16">
      <c r="B790" s="334"/>
      <c r="C790" s="579" t="s">
        <v>603</v>
      </c>
      <c r="D790" s="676"/>
      <c r="E790" s="676"/>
      <c r="F790" s="676"/>
      <c r="G790" s="1258"/>
      <c r="H790" s="1258"/>
      <c r="I790" s="677"/>
      <c r="J790" s="677"/>
      <c r="K790" s="677"/>
      <c r="L790" s="677"/>
      <c r="M790" s="677"/>
      <c r="N790" s="677"/>
      <c r="O790" s="543"/>
    </row>
    <row r="791" spans="1:16">
      <c r="B791" s="334"/>
      <c r="C791" s="579" t="s">
        <v>477</v>
      </c>
      <c r="D791" s="676"/>
      <c r="E791" s="676"/>
      <c r="F791" s="676"/>
      <c r="G791" s="1258"/>
      <c r="H791" s="1258"/>
      <c r="I791" s="677"/>
      <c r="J791" s="677"/>
      <c r="K791" s="677"/>
      <c r="L791" s="677"/>
      <c r="M791" s="677"/>
      <c r="N791" s="677"/>
      <c r="O791" s="543"/>
    </row>
    <row r="792" spans="1:16">
      <c r="B792" s="334"/>
      <c r="C792" s="579" t="s">
        <v>290</v>
      </c>
      <c r="D792" s="676"/>
      <c r="E792" s="676"/>
      <c r="F792" s="676"/>
      <c r="G792" s="1258"/>
      <c r="H792" s="1258"/>
      <c r="I792" s="677"/>
      <c r="J792" s="677"/>
      <c r="K792" s="677"/>
      <c r="L792" s="677"/>
      <c r="M792" s="677"/>
      <c r="N792" s="677"/>
      <c r="O792" s="543"/>
    </row>
    <row r="793" spans="1:16">
      <c r="B793" s="334"/>
      <c r="C793" s="675"/>
      <c r="D793" s="676"/>
      <c r="E793" s="676"/>
      <c r="F793" s="676"/>
      <c r="G793" s="1258"/>
      <c r="H793" s="1258"/>
      <c r="I793" s="677"/>
      <c r="J793" s="677"/>
      <c r="K793" s="677"/>
      <c r="L793" s="677"/>
      <c r="M793" s="677"/>
      <c r="N793" s="677"/>
      <c r="O793" s="543"/>
    </row>
    <row r="794" spans="1:16">
      <c r="B794" s="334"/>
      <c r="C794" s="1436" t="s">
        <v>461</v>
      </c>
      <c r="D794" s="1436"/>
      <c r="E794" s="1436"/>
      <c r="F794" s="1436"/>
      <c r="G794" s="1436"/>
      <c r="H794" s="1436"/>
      <c r="I794" s="1436"/>
      <c r="J794" s="1436"/>
      <c r="K794" s="1436"/>
      <c r="L794" s="1436"/>
      <c r="M794" s="1436"/>
      <c r="N794" s="1436"/>
      <c r="O794" s="1436"/>
    </row>
    <row r="795" spans="1:16">
      <c r="B795" s="334"/>
      <c r="C795" s="1436"/>
      <c r="D795" s="1436"/>
      <c r="E795" s="1436"/>
      <c r="F795" s="1436"/>
      <c r="G795" s="1436"/>
      <c r="H795" s="1436"/>
      <c r="I795" s="1436"/>
      <c r="J795" s="1436"/>
      <c r="K795" s="1436"/>
      <c r="L795" s="1436"/>
      <c r="M795" s="1436"/>
      <c r="N795" s="1436"/>
      <c r="O795" s="1436"/>
    </row>
    <row r="796" spans="1:16" ht="20.25">
      <c r="A796" s="678" t="s">
        <v>993</v>
      </c>
      <c r="B796" s="543"/>
      <c r="C796" s="658"/>
      <c r="D796" s="566"/>
      <c r="E796" s="543"/>
      <c r="F796" s="648"/>
      <c r="G796" s="543"/>
      <c r="H796" s="1257"/>
      <c r="K796" s="679"/>
      <c r="L796" s="679"/>
      <c r="M796" s="679"/>
      <c r="N796" s="594" t="str">
        <f>"Page "&amp;SUM(P$6:P796)&amp;" of "</f>
        <v xml:space="preserve">Page 10 of </v>
      </c>
      <c r="O796" s="595">
        <f>COUNT(P$6:P$59606)</f>
        <v>14</v>
      </c>
      <c r="P796" s="543">
        <v>1</v>
      </c>
    </row>
    <row r="797" spans="1:16">
      <c r="B797" s="543"/>
      <c r="C797" s="543"/>
      <c r="D797" s="566"/>
      <c r="E797" s="543"/>
      <c r="F797" s="543"/>
      <c r="G797" s="543"/>
      <c r="H797" s="1257"/>
      <c r="I797" s="543"/>
      <c r="J797" s="591"/>
      <c r="K797" s="543"/>
      <c r="L797" s="543"/>
      <c r="M797" s="543"/>
      <c r="N797" s="543"/>
      <c r="O797" s="543"/>
    </row>
    <row r="798" spans="1:16" ht="18">
      <c r="B798" s="598" t="s">
        <v>175</v>
      </c>
      <c r="C798" s="680" t="s">
        <v>291</v>
      </c>
      <c r="D798" s="566"/>
      <c r="E798" s="543"/>
      <c r="F798" s="543"/>
      <c r="G798" s="543"/>
      <c r="H798" s="1257"/>
      <c r="I798" s="1257"/>
      <c r="J798" s="1258"/>
      <c r="K798" s="1257"/>
      <c r="L798" s="1257"/>
      <c r="M798" s="1257"/>
      <c r="N798" s="1257"/>
      <c r="O798" s="543"/>
    </row>
    <row r="799" spans="1:16" ht="18.75">
      <c r="B799" s="598"/>
      <c r="C799" s="597"/>
      <c r="D799" s="566"/>
      <c r="E799" s="543"/>
      <c r="F799" s="543"/>
      <c r="G799" s="543"/>
      <c r="H799" s="1257"/>
      <c r="I799" s="1257"/>
      <c r="J799" s="1258"/>
      <c r="K799" s="1257"/>
      <c r="L799" s="1257"/>
      <c r="M799" s="1257"/>
      <c r="N799" s="1257"/>
      <c r="O799" s="543"/>
    </row>
    <row r="800" spans="1:16" ht="18.75">
      <c r="B800" s="598"/>
      <c r="C800" s="597" t="s">
        <v>292</v>
      </c>
      <c r="D800" s="566"/>
      <c r="E800" s="543"/>
      <c r="F800" s="543"/>
      <c r="G800" s="543"/>
      <c r="H800" s="1257"/>
      <c r="I800" s="1257"/>
      <c r="J800" s="1258"/>
      <c r="K800" s="1257"/>
      <c r="L800" s="1257"/>
      <c r="M800" s="1257"/>
      <c r="N800" s="1257"/>
      <c r="O800" s="543"/>
    </row>
    <row r="801" spans="1:15" ht="15.75" thickBot="1">
      <c r="B801" s="334"/>
      <c r="C801" s="400"/>
      <c r="D801" s="566"/>
      <c r="E801" s="543"/>
      <c r="F801" s="543"/>
      <c r="G801" s="543"/>
      <c r="H801" s="1257"/>
      <c r="I801" s="1257"/>
      <c r="J801" s="1258"/>
      <c r="K801" s="1257"/>
      <c r="L801" s="1257"/>
      <c r="M801" s="1257"/>
      <c r="N801" s="1257"/>
      <c r="O801" s="543"/>
    </row>
    <row r="802" spans="1:15" ht="15.75">
      <c r="B802" s="334"/>
      <c r="C802" s="599" t="s">
        <v>293</v>
      </c>
      <c r="D802" s="566"/>
      <c r="E802" s="543"/>
      <c r="F802" s="543"/>
      <c r="G802" s="1259"/>
      <c r="H802" s="543" t="s">
        <v>272</v>
      </c>
      <c r="I802" s="543"/>
      <c r="J802" s="591"/>
      <c r="K802" s="681" t="s">
        <v>297</v>
      </c>
      <c r="L802" s="682"/>
      <c r="M802" s="683"/>
      <c r="N802" s="1260">
        <f>VLOOKUP(I808,C815:O874,5)</f>
        <v>53228.480860817472</v>
      </c>
      <c r="O802" s="543"/>
    </row>
    <row r="803" spans="1:15" ht="15.75">
      <c r="B803" s="334"/>
      <c r="C803" s="599"/>
      <c r="D803" s="566"/>
      <c r="E803" s="543"/>
      <c r="F803" s="543"/>
      <c r="G803" s="543"/>
      <c r="H803" s="1261"/>
      <c r="I803" s="1261"/>
      <c r="J803" s="1262"/>
      <c r="K803" s="686" t="s">
        <v>298</v>
      </c>
      <c r="L803" s="1263"/>
      <c r="M803" s="591"/>
      <c r="N803" s="1264">
        <f>VLOOKUP(I808,C815:O874,6)</f>
        <v>53228.480860817472</v>
      </c>
      <c r="O803" s="543"/>
    </row>
    <row r="804" spans="1:15" ht="13.5" thickBot="1">
      <c r="B804" s="334"/>
      <c r="C804" s="687" t="s">
        <v>294</v>
      </c>
      <c r="D804" s="1434" t="s">
        <v>1003</v>
      </c>
      <c r="E804" s="1434"/>
      <c r="F804" s="1434"/>
      <c r="G804" s="1434"/>
      <c r="H804" s="1434"/>
      <c r="I804" s="1257"/>
      <c r="J804" s="1258"/>
      <c r="K804" s="1265" t="s">
        <v>451</v>
      </c>
      <c r="L804" s="1266"/>
      <c r="M804" s="1266"/>
      <c r="N804" s="1267">
        <f>+N803-N802</f>
        <v>0</v>
      </c>
      <c r="O804" s="543"/>
    </row>
    <row r="805" spans="1:15">
      <c r="B805" s="334"/>
      <c r="C805" s="689"/>
      <c r="D805" s="690"/>
      <c r="E805" s="674"/>
      <c r="F805" s="674"/>
      <c r="G805" s="691"/>
      <c r="H805" s="1257"/>
      <c r="I805" s="1257"/>
      <c r="J805" s="1258"/>
      <c r="K805" s="1257"/>
      <c r="L805" s="1257"/>
      <c r="M805" s="1257"/>
      <c r="N805" s="1257"/>
      <c r="O805" s="543"/>
    </row>
    <row r="806" spans="1:15" ht="13.5" thickBot="1">
      <c r="B806" s="334"/>
      <c r="C806" s="692"/>
      <c r="D806" s="693"/>
      <c r="E806" s="691"/>
      <c r="F806" s="691"/>
      <c r="G806" s="691"/>
      <c r="H806" s="691"/>
      <c r="I806" s="691"/>
      <c r="J806" s="694"/>
      <c r="K806" s="691"/>
      <c r="L806" s="691"/>
      <c r="M806" s="691"/>
      <c r="N806" s="691"/>
      <c r="O806" s="579"/>
    </row>
    <row r="807" spans="1:15" ht="13.5" thickBot="1">
      <c r="B807" s="334"/>
      <c r="C807" s="696" t="s">
        <v>295</v>
      </c>
      <c r="D807" s="697"/>
      <c r="E807" s="697"/>
      <c r="F807" s="697"/>
      <c r="G807" s="697"/>
      <c r="H807" s="697"/>
      <c r="I807" s="698"/>
      <c r="J807" s="699"/>
      <c r="K807" s="543"/>
      <c r="L807" s="543"/>
      <c r="M807" s="543"/>
      <c r="N807" s="543"/>
      <c r="O807" s="700"/>
    </row>
    <row r="808" spans="1:15" ht="15">
      <c r="C808" s="702" t="s">
        <v>273</v>
      </c>
      <c r="D808" s="1268">
        <v>451100</v>
      </c>
      <c r="E808" s="658" t="s">
        <v>274</v>
      </c>
      <c r="G808" s="703"/>
      <c r="H808" s="703"/>
      <c r="I808" s="704">
        <v>2018</v>
      </c>
      <c r="J808" s="589"/>
      <c r="K808" s="1435" t="s">
        <v>460</v>
      </c>
      <c r="L808" s="1435"/>
      <c r="M808" s="1435"/>
      <c r="N808" s="1435"/>
      <c r="O808" s="1435"/>
    </row>
    <row r="809" spans="1:15">
      <c r="C809" s="702" t="s">
        <v>276</v>
      </c>
      <c r="D809" s="876">
        <v>2014</v>
      </c>
      <c r="E809" s="702" t="s">
        <v>277</v>
      </c>
      <c r="F809" s="703"/>
      <c r="H809" s="334"/>
      <c r="I809" s="879">
        <f>IF(G802="",0,$F$15)</f>
        <v>0</v>
      </c>
      <c r="J809" s="705"/>
      <c r="K809" s="1258" t="s">
        <v>460</v>
      </c>
    </row>
    <row r="810" spans="1:15">
      <c r="C810" s="702" t="s">
        <v>278</v>
      </c>
      <c r="D810" s="1269">
        <v>9</v>
      </c>
      <c r="E810" s="702" t="s">
        <v>279</v>
      </c>
      <c r="F810" s="703"/>
      <c r="H810" s="334"/>
      <c r="I810" s="706">
        <f>$G$70</f>
        <v>0.10790637951024619</v>
      </c>
      <c r="J810" s="707"/>
      <c r="K810" s="334" t="str">
        <f>"          INPUT PROJECTED ARR (WITH &amp; WITHOUT INCENTIVES) FROM EACH PRIOR YEAR"</f>
        <v xml:space="preserve">          INPUT PROJECTED ARR (WITH &amp; WITHOUT INCENTIVES) FROM EACH PRIOR YEAR</v>
      </c>
    </row>
    <row r="811" spans="1:15">
      <c r="C811" s="702" t="s">
        <v>280</v>
      </c>
      <c r="D811" s="708">
        <f>G$79</f>
        <v>59</v>
      </c>
      <c r="E811" s="702" t="s">
        <v>281</v>
      </c>
      <c r="F811" s="703"/>
      <c r="H811" s="334"/>
      <c r="I811" s="706">
        <f>IF(G802="",I810,$G$67)</f>
        <v>0.10790637951024619</v>
      </c>
      <c r="J811" s="709"/>
      <c r="K811" s="334" t="s">
        <v>358</v>
      </c>
    </row>
    <row r="812" spans="1:15" ht="13.5" thickBot="1">
      <c r="C812" s="702" t="s">
        <v>282</v>
      </c>
      <c r="D812" s="878" t="s">
        <v>995</v>
      </c>
      <c r="E812" s="710" t="s">
        <v>283</v>
      </c>
      <c r="F812" s="711"/>
      <c r="G812" s="712"/>
      <c r="H812" s="712"/>
      <c r="I812" s="1267">
        <f>IF(D808=0,0,D808/D811)</f>
        <v>7645.7627118644068</v>
      </c>
      <c r="J812" s="1258"/>
      <c r="K812" s="1258" t="s">
        <v>364</v>
      </c>
      <c r="L812" s="1258"/>
      <c r="M812" s="1258"/>
      <c r="N812" s="1258"/>
      <c r="O812" s="591"/>
    </row>
    <row r="813" spans="1:15" ht="51">
      <c r="A813" s="530"/>
      <c r="B813" s="530"/>
      <c r="C813" s="713" t="s">
        <v>273</v>
      </c>
      <c r="D813" s="1270" t="s">
        <v>284</v>
      </c>
      <c r="E813" s="1271" t="s">
        <v>285</v>
      </c>
      <c r="F813" s="1270" t="s">
        <v>286</v>
      </c>
      <c r="G813" s="1271" t="s">
        <v>357</v>
      </c>
      <c r="H813" s="1272" t="s">
        <v>357</v>
      </c>
      <c r="I813" s="713" t="s">
        <v>296</v>
      </c>
      <c r="J813" s="717"/>
      <c r="K813" s="1271" t="s">
        <v>366</v>
      </c>
      <c r="L813" s="1273"/>
      <c r="M813" s="1271" t="s">
        <v>366</v>
      </c>
      <c r="N813" s="1273"/>
      <c r="O813" s="1273"/>
    </row>
    <row r="814" spans="1:15" ht="13.5" thickBot="1">
      <c r="B814" s="334"/>
      <c r="C814" s="719" t="s">
        <v>178</v>
      </c>
      <c r="D814" s="720" t="s">
        <v>179</v>
      </c>
      <c r="E814" s="719" t="s">
        <v>37</v>
      </c>
      <c r="F814" s="720" t="s">
        <v>179</v>
      </c>
      <c r="G814" s="1274" t="s">
        <v>299</v>
      </c>
      <c r="H814" s="1275" t="s">
        <v>301</v>
      </c>
      <c r="I814" s="723" t="s">
        <v>390</v>
      </c>
      <c r="J814" s="724"/>
      <c r="K814" s="1274" t="s">
        <v>288</v>
      </c>
      <c r="L814" s="1276"/>
      <c r="M814" s="1274" t="s">
        <v>301</v>
      </c>
      <c r="N814" s="1276"/>
      <c r="O814" s="1276"/>
    </row>
    <row r="815" spans="1:15">
      <c r="B815" s="334"/>
      <c r="C815" s="725">
        <f>IF(D809= "","-",D809)</f>
        <v>2014</v>
      </c>
      <c r="D815" s="676">
        <f>+D808</f>
        <v>451100</v>
      </c>
      <c r="E815" s="1277">
        <f>+I812/12*(12-D810)</f>
        <v>1911.4406779661017</v>
      </c>
      <c r="F815" s="676">
        <f t="shared" ref="F815:F874" si="48">+D815-E815</f>
        <v>449188.55932203389</v>
      </c>
      <c r="G815" s="1278">
        <f>+$I$810*((D815+F815)/2)+E815</f>
        <v>50484.880153434191</v>
      </c>
      <c r="H815" s="1279">
        <f>+$I$811*((D815+F815)/2)+E815</f>
        <v>50484.880153434191</v>
      </c>
      <c r="I815" s="729">
        <f t="shared" ref="I815:I874" si="49">+H815-G815</f>
        <v>0</v>
      </c>
      <c r="J815" s="729"/>
      <c r="K815" s="880">
        <v>0</v>
      </c>
      <c r="L815" s="731"/>
      <c r="M815" s="880">
        <v>0</v>
      </c>
      <c r="N815" s="731"/>
      <c r="O815" s="731"/>
    </row>
    <row r="816" spans="1:15">
      <c r="B816" s="334"/>
      <c r="C816" s="725">
        <f>IF(D809="","-",+C815+1)</f>
        <v>2015</v>
      </c>
      <c r="D816" s="676">
        <f t="shared" ref="D816:D874" si="50">F815</f>
        <v>449188.55932203389</v>
      </c>
      <c r="E816" s="732">
        <f>IF(D816&gt;$I$812,$I$812,D816)</f>
        <v>7645.7627118644068</v>
      </c>
      <c r="F816" s="676">
        <f t="shared" si="48"/>
        <v>441542.79661016946</v>
      </c>
      <c r="G816" s="1277">
        <f t="shared" ref="G816:G874" si="51">+$I$810*((D816+F816)/2)+E816</f>
        <v>55703.560579312667</v>
      </c>
      <c r="H816" s="1280">
        <f t="shared" ref="H816:H874" si="52">+$I$811*((D816+F816)/2)+E816</f>
        <v>55703.560579312667</v>
      </c>
      <c r="I816" s="729">
        <f t="shared" si="49"/>
        <v>0</v>
      </c>
      <c r="J816" s="729"/>
      <c r="K816" s="881">
        <v>0</v>
      </c>
      <c r="L816" s="735"/>
      <c r="M816" s="881">
        <v>0</v>
      </c>
      <c r="N816" s="735"/>
      <c r="O816" s="735"/>
    </row>
    <row r="817" spans="2:15">
      <c r="B817" s="334"/>
      <c r="C817" s="725">
        <f>IF(D809="","-",+C816+1)</f>
        <v>2016</v>
      </c>
      <c r="D817" s="676">
        <f t="shared" si="50"/>
        <v>441542.79661016946</v>
      </c>
      <c r="E817" s="732">
        <f t="shared" ref="E817:E874" si="53">IF(D817&gt;$I$812,$I$812,D817)</f>
        <v>7645.7627118644068</v>
      </c>
      <c r="F817" s="676">
        <f t="shared" si="48"/>
        <v>433897.03389830503</v>
      </c>
      <c r="G817" s="1277">
        <f t="shared" si="51"/>
        <v>54878.534006480935</v>
      </c>
      <c r="H817" s="1280">
        <f t="shared" si="52"/>
        <v>54878.534006480935</v>
      </c>
      <c r="I817" s="729">
        <f t="shared" si="49"/>
        <v>0</v>
      </c>
      <c r="J817" s="729"/>
      <c r="K817" s="881">
        <v>1117</v>
      </c>
      <c r="L817" s="1290"/>
      <c r="M817" s="881">
        <v>1117</v>
      </c>
      <c r="N817" s="735"/>
      <c r="O817" s="735"/>
    </row>
    <row r="818" spans="2:15">
      <c r="B818" s="334"/>
      <c r="C818" s="725">
        <f>IF(D809="","-",+C817+1)</f>
        <v>2017</v>
      </c>
      <c r="D818" s="676">
        <f t="shared" si="50"/>
        <v>433897.03389830503</v>
      </c>
      <c r="E818" s="732">
        <f t="shared" si="53"/>
        <v>7645.7627118644068</v>
      </c>
      <c r="F818" s="676">
        <f t="shared" si="48"/>
        <v>426251.2711864406</v>
      </c>
      <c r="G818" s="1277">
        <f t="shared" si="51"/>
        <v>54053.507433649203</v>
      </c>
      <c r="H818" s="1280">
        <f t="shared" si="52"/>
        <v>54053.507433649203</v>
      </c>
      <c r="I818" s="729">
        <f t="shared" si="49"/>
        <v>0</v>
      </c>
      <c r="J818" s="729"/>
      <c r="K818" s="881">
        <v>57580</v>
      </c>
      <c r="L818" s="735"/>
      <c r="M818" s="881">
        <v>57580</v>
      </c>
      <c r="N818" s="735"/>
      <c r="O818" s="735"/>
    </row>
    <row r="819" spans="2:15">
      <c r="B819" s="334"/>
      <c r="C819" s="1281">
        <f>IF(D809="","-",+C818+1)</f>
        <v>2018</v>
      </c>
      <c r="D819" s="1282">
        <f t="shared" si="50"/>
        <v>426251.2711864406</v>
      </c>
      <c r="E819" s="1283">
        <f t="shared" si="53"/>
        <v>7645.7627118644068</v>
      </c>
      <c r="F819" s="1282">
        <f t="shared" si="48"/>
        <v>418605.50847457617</v>
      </c>
      <c r="G819" s="1284">
        <f t="shared" si="51"/>
        <v>53228.480860817472</v>
      </c>
      <c r="H819" s="1285">
        <f t="shared" si="52"/>
        <v>53228.480860817472</v>
      </c>
      <c r="I819" s="1291">
        <f t="shared" si="49"/>
        <v>0</v>
      </c>
      <c r="J819" s="729"/>
      <c r="K819" s="881"/>
      <c r="L819" s="735"/>
      <c r="M819" s="881"/>
      <c r="N819" s="735"/>
      <c r="O819" s="735"/>
    </row>
    <row r="820" spans="2:15">
      <c r="B820" s="334"/>
      <c r="C820" s="725">
        <f>IF(D809="","-",+C819+1)</f>
        <v>2019</v>
      </c>
      <c r="D820" s="676">
        <f t="shared" si="50"/>
        <v>418605.50847457617</v>
      </c>
      <c r="E820" s="732">
        <f t="shared" si="53"/>
        <v>7645.7627118644068</v>
      </c>
      <c r="F820" s="676">
        <f t="shared" si="48"/>
        <v>410959.74576271174</v>
      </c>
      <c r="G820" s="1277">
        <f t="shared" si="51"/>
        <v>52403.454287985733</v>
      </c>
      <c r="H820" s="1280">
        <f t="shared" si="52"/>
        <v>52403.454287985733</v>
      </c>
      <c r="I820" s="729">
        <f t="shared" si="49"/>
        <v>0</v>
      </c>
      <c r="J820" s="729"/>
      <c r="K820" s="881"/>
      <c r="L820" s="735"/>
      <c r="M820" s="881"/>
      <c r="N820" s="735"/>
      <c r="O820" s="735"/>
    </row>
    <row r="821" spans="2:15">
      <c r="B821" s="334"/>
      <c r="C821" s="725">
        <f>IF(D809="","-",+C820+1)</f>
        <v>2020</v>
      </c>
      <c r="D821" s="676">
        <f t="shared" si="50"/>
        <v>410959.74576271174</v>
      </c>
      <c r="E821" s="732">
        <f t="shared" si="53"/>
        <v>7645.7627118644068</v>
      </c>
      <c r="F821" s="676">
        <f t="shared" si="48"/>
        <v>403313.98305084731</v>
      </c>
      <c r="G821" s="1277">
        <f t="shared" si="51"/>
        <v>51578.427715154001</v>
      </c>
      <c r="H821" s="1280">
        <f t="shared" si="52"/>
        <v>51578.427715154001</v>
      </c>
      <c r="I821" s="729">
        <f t="shared" si="49"/>
        <v>0</v>
      </c>
      <c r="J821" s="729"/>
      <c r="K821" s="881"/>
      <c r="L821" s="735"/>
      <c r="M821" s="881"/>
      <c r="N821" s="735"/>
      <c r="O821" s="735"/>
    </row>
    <row r="822" spans="2:15">
      <c r="B822" s="334"/>
      <c r="C822" s="725">
        <f>IF(D809="","-",+C821+1)</f>
        <v>2021</v>
      </c>
      <c r="D822" s="676">
        <f t="shared" si="50"/>
        <v>403313.98305084731</v>
      </c>
      <c r="E822" s="732">
        <f t="shared" si="53"/>
        <v>7645.7627118644068</v>
      </c>
      <c r="F822" s="676">
        <f t="shared" si="48"/>
        <v>395668.22033898288</v>
      </c>
      <c r="G822" s="1277">
        <f t="shared" si="51"/>
        <v>50753.401142322269</v>
      </c>
      <c r="H822" s="1280">
        <f t="shared" si="52"/>
        <v>50753.401142322269</v>
      </c>
      <c r="I822" s="729">
        <f t="shared" si="49"/>
        <v>0</v>
      </c>
      <c r="J822" s="729"/>
      <c r="K822" s="881"/>
      <c r="L822" s="735"/>
      <c r="M822" s="881"/>
      <c r="N822" s="735"/>
      <c r="O822" s="735"/>
    </row>
    <row r="823" spans="2:15">
      <c r="B823" s="334"/>
      <c r="C823" s="725">
        <f>IF(D809="","-",+C822+1)</f>
        <v>2022</v>
      </c>
      <c r="D823" s="676">
        <f t="shared" si="50"/>
        <v>395668.22033898288</v>
      </c>
      <c r="E823" s="732">
        <f t="shared" si="53"/>
        <v>7645.7627118644068</v>
      </c>
      <c r="F823" s="676">
        <f t="shared" si="48"/>
        <v>388022.45762711845</v>
      </c>
      <c r="G823" s="1277">
        <f t="shared" si="51"/>
        <v>49928.374569490537</v>
      </c>
      <c r="H823" s="1280">
        <f t="shared" si="52"/>
        <v>49928.374569490537</v>
      </c>
      <c r="I823" s="729">
        <f t="shared" si="49"/>
        <v>0</v>
      </c>
      <c r="J823" s="729"/>
      <c r="K823" s="881"/>
      <c r="L823" s="735"/>
      <c r="M823" s="881"/>
      <c r="N823" s="735"/>
      <c r="O823" s="735"/>
    </row>
    <row r="824" spans="2:15">
      <c r="B824" s="334"/>
      <c r="C824" s="725">
        <f>IF(D809="","-",+C823+1)</f>
        <v>2023</v>
      </c>
      <c r="D824" s="676">
        <f t="shared" si="50"/>
        <v>388022.45762711845</v>
      </c>
      <c r="E824" s="732">
        <f t="shared" si="53"/>
        <v>7645.7627118644068</v>
      </c>
      <c r="F824" s="676">
        <f t="shared" si="48"/>
        <v>380376.69491525402</v>
      </c>
      <c r="G824" s="1277">
        <f t="shared" si="51"/>
        <v>49103.347996658806</v>
      </c>
      <c r="H824" s="1280">
        <f t="shared" si="52"/>
        <v>49103.347996658806</v>
      </c>
      <c r="I824" s="729">
        <f t="shared" si="49"/>
        <v>0</v>
      </c>
      <c r="J824" s="729"/>
      <c r="K824" s="881"/>
      <c r="L824" s="735"/>
      <c r="M824" s="881"/>
      <c r="N824" s="735"/>
      <c r="O824" s="735"/>
    </row>
    <row r="825" spans="2:15">
      <c r="B825" s="334"/>
      <c r="C825" s="725">
        <f>IF(D809="","-",+C824+1)</f>
        <v>2024</v>
      </c>
      <c r="D825" s="676">
        <f t="shared" si="50"/>
        <v>380376.69491525402</v>
      </c>
      <c r="E825" s="732">
        <f t="shared" si="53"/>
        <v>7645.7627118644068</v>
      </c>
      <c r="F825" s="676">
        <f t="shared" si="48"/>
        <v>372730.93220338959</v>
      </c>
      <c r="G825" s="1277">
        <f t="shared" si="51"/>
        <v>48278.321423827074</v>
      </c>
      <c r="H825" s="1280">
        <f t="shared" si="52"/>
        <v>48278.321423827074</v>
      </c>
      <c r="I825" s="729">
        <f t="shared" si="49"/>
        <v>0</v>
      </c>
      <c r="J825" s="729"/>
      <c r="K825" s="881"/>
      <c r="L825" s="735"/>
      <c r="M825" s="881"/>
      <c r="N825" s="735"/>
      <c r="O825" s="735"/>
    </row>
    <row r="826" spans="2:15">
      <c r="B826" s="334"/>
      <c r="C826" s="725">
        <f>IF(D809="","-",+C825+1)</f>
        <v>2025</v>
      </c>
      <c r="D826" s="676">
        <f t="shared" si="50"/>
        <v>372730.93220338959</v>
      </c>
      <c r="E826" s="732">
        <f t="shared" si="53"/>
        <v>7645.7627118644068</v>
      </c>
      <c r="F826" s="676">
        <f t="shared" si="48"/>
        <v>365085.16949152516</v>
      </c>
      <c r="G826" s="1277">
        <f t="shared" si="51"/>
        <v>47453.294850995342</v>
      </c>
      <c r="H826" s="1280">
        <f t="shared" si="52"/>
        <v>47453.294850995342</v>
      </c>
      <c r="I826" s="729">
        <f t="shared" si="49"/>
        <v>0</v>
      </c>
      <c r="J826" s="729"/>
      <c r="K826" s="881"/>
      <c r="L826" s="735"/>
      <c r="M826" s="881"/>
      <c r="N826" s="735"/>
      <c r="O826" s="735"/>
    </row>
    <row r="827" spans="2:15">
      <c r="B827" s="334"/>
      <c r="C827" s="725">
        <f>IF(D809="","-",+C826+1)</f>
        <v>2026</v>
      </c>
      <c r="D827" s="676">
        <f t="shared" si="50"/>
        <v>365085.16949152516</v>
      </c>
      <c r="E827" s="732">
        <f t="shared" si="53"/>
        <v>7645.7627118644068</v>
      </c>
      <c r="F827" s="676">
        <f t="shared" si="48"/>
        <v>357439.40677966073</v>
      </c>
      <c r="G827" s="1277">
        <f t="shared" si="51"/>
        <v>46628.26827816361</v>
      </c>
      <c r="H827" s="1280">
        <f t="shared" si="52"/>
        <v>46628.26827816361</v>
      </c>
      <c r="I827" s="729">
        <f t="shared" si="49"/>
        <v>0</v>
      </c>
      <c r="J827" s="729"/>
      <c r="K827" s="881"/>
      <c r="L827" s="735"/>
      <c r="M827" s="881"/>
      <c r="N827" s="736"/>
      <c r="O827" s="735"/>
    </row>
    <row r="828" spans="2:15">
      <c r="B828" s="334"/>
      <c r="C828" s="725">
        <f>IF(D809="","-",+C827+1)</f>
        <v>2027</v>
      </c>
      <c r="D828" s="676">
        <f t="shared" si="50"/>
        <v>357439.40677966073</v>
      </c>
      <c r="E828" s="732">
        <f t="shared" si="53"/>
        <v>7645.7627118644068</v>
      </c>
      <c r="F828" s="676">
        <f t="shared" si="48"/>
        <v>349793.6440677963</v>
      </c>
      <c r="G828" s="1277">
        <f t="shared" si="51"/>
        <v>45803.241705331879</v>
      </c>
      <c r="H828" s="1280">
        <f t="shared" si="52"/>
        <v>45803.241705331879</v>
      </c>
      <c r="I828" s="729">
        <f t="shared" si="49"/>
        <v>0</v>
      </c>
      <c r="J828" s="729"/>
      <c r="K828" s="881"/>
      <c r="L828" s="735"/>
      <c r="M828" s="881"/>
      <c r="N828" s="735"/>
      <c r="O828" s="735"/>
    </row>
    <row r="829" spans="2:15">
      <c r="B829" s="334"/>
      <c r="C829" s="725">
        <f>IF(D809="","-",+C828+1)</f>
        <v>2028</v>
      </c>
      <c r="D829" s="676">
        <f t="shared" si="50"/>
        <v>349793.6440677963</v>
      </c>
      <c r="E829" s="732">
        <f t="shared" si="53"/>
        <v>7645.7627118644068</v>
      </c>
      <c r="F829" s="676">
        <f t="shared" si="48"/>
        <v>342147.88135593187</v>
      </c>
      <c r="G829" s="1277">
        <f t="shared" si="51"/>
        <v>44978.215132500147</v>
      </c>
      <c r="H829" s="1280">
        <f t="shared" si="52"/>
        <v>44978.215132500147</v>
      </c>
      <c r="I829" s="729">
        <f t="shared" si="49"/>
        <v>0</v>
      </c>
      <c r="J829" s="729"/>
      <c r="K829" s="881"/>
      <c r="L829" s="735"/>
      <c r="M829" s="881"/>
      <c r="N829" s="735"/>
      <c r="O829" s="735"/>
    </row>
    <row r="830" spans="2:15">
      <c r="B830" s="334"/>
      <c r="C830" s="725">
        <f>IF(D809="","-",+C829+1)</f>
        <v>2029</v>
      </c>
      <c r="D830" s="676">
        <f t="shared" si="50"/>
        <v>342147.88135593187</v>
      </c>
      <c r="E830" s="732">
        <f t="shared" si="53"/>
        <v>7645.7627118644068</v>
      </c>
      <c r="F830" s="676">
        <f t="shared" si="48"/>
        <v>334502.11864406744</v>
      </c>
      <c r="G830" s="1277">
        <f t="shared" si="51"/>
        <v>44153.188559668415</v>
      </c>
      <c r="H830" s="1280">
        <f t="shared" si="52"/>
        <v>44153.188559668415</v>
      </c>
      <c r="I830" s="729">
        <f t="shared" si="49"/>
        <v>0</v>
      </c>
      <c r="J830" s="729"/>
      <c r="K830" s="881"/>
      <c r="L830" s="735"/>
      <c r="M830" s="881"/>
      <c r="N830" s="735"/>
      <c r="O830" s="735"/>
    </row>
    <row r="831" spans="2:15">
      <c r="B831" s="334"/>
      <c r="C831" s="725">
        <f>IF(D809="","-",+C830+1)</f>
        <v>2030</v>
      </c>
      <c r="D831" s="676">
        <f t="shared" si="50"/>
        <v>334502.11864406744</v>
      </c>
      <c r="E831" s="732">
        <f t="shared" si="53"/>
        <v>7645.7627118644068</v>
      </c>
      <c r="F831" s="676">
        <f t="shared" si="48"/>
        <v>326856.35593220301</v>
      </c>
      <c r="G831" s="1277">
        <f t="shared" si="51"/>
        <v>43328.161986836683</v>
      </c>
      <c r="H831" s="1280">
        <f t="shared" si="52"/>
        <v>43328.161986836683</v>
      </c>
      <c r="I831" s="729">
        <f t="shared" si="49"/>
        <v>0</v>
      </c>
      <c r="J831" s="729"/>
      <c r="K831" s="881"/>
      <c r="L831" s="735"/>
      <c r="M831" s="881"/>
      <c r="N831" s="735"/>
      <c r="O831" s="735"/>
    </row>
    <row r="832" spans="2:15">
      <c r="B832" s="334"/>
      <c r="C832" s="725">
        <f>IF(D809="","-",+C831+1)</f>
        <v>2031</v>
      </c>
      <c r="D832" s="676">
        <f t="shared" si="50"/>
        <v>326856.35593220301</v>
      </c>
      <c r="E832" s="732">
        <f t="shared" si="53"/>
        <v>7645.7627118644068</v>
      </c>
      <c r="F832" s="676">
        <f t="shared" si="48"/>
        <v>319210.59322033857</v>
      </c>
      <c r="G832" s="1277">
        <f t="shared" si="51"/>
        <v>42503.135414004952</v>
      </c>
      <c r="H832" s="1280">
        <f t="shared" si="52"/>
        <v>42503.135414004952</v>
      </c>
      <c r="I832" s="729">
        <f t="shared" si="49"/>
        <v>0</v>
      </c>
      <c r="J832" s="729"/>
      <c r="K832" s="881"/>
      <c r="L832" s="735"/>
      <c r="M832" s="881"/>
      <c r="N832" s="735"/>
      <c r="O832" s="735"/>
    </row>
    <row r="833" spans="2:15">
      <c r="B833" s="334"/>
      <c r="C833" s="725">
        <f>IF(D809="","-",+C832+1)</f>
        <v>2032</v>
      </c>
      <c r="D833" s="676">
        <f t="shared" si="50"/>
        <v>319210.59322033857</v>
      </c>
      <c r="E833" s="732">
        <f t="shared" si="53"/>
        <v>7645.7627118644068</v>
      </c>
      <c r="F833" s="676">
        <f t="shared" si="48"/>
        <v>311564.83050847414</v>
      </c>
      <c r="G833" s="1277">
        <f t="shared" si="51"/>
        <v>41678.108841173213</v>
      </c>
      <c r="H833" s="1280">
        <f t="shared" si="52"/>
        <v>41678.108841173213</v>
      </c>
      <c r="I833" s="729">
        <f t="shared" si="49"/>
        <v>0</v>
      </c>
      <c r="J833" s="729"/>
      <c r="K833" s="881"/>
      <c r="L833" s="735"/>
      <c r="M833" s="881"/>
      <c r="N833" s="735"/>
      <c r="O833" s="735"/>
    </row>
    <row r="834" spans="2:15">
      <c r="B834" s="334"/>
      <c r="C834" s="725">
        <f>IF(D809="","-",+C833+1)</f>
        <v>2033</v>
      </c>
      <c r="D834" s="676">
        <f t="shared" si="50"/>
        <v>311564.83050847414</v>
      </c>
      <c r="E834" s="732">
        <f t="shared" si="53"/>
        <v>7645.7627118644068</v>
      </c>
      <c r="F834" s="676">
        <f t="shared" si="48"/>
        <v>303919.06779660971</v>
      </c>
      <c r="G834" s="1277">
        <f t="shared" si="51"/>
        <v>40853.082268341481</v>
      </c>
      <c r="H834" s="1280">
        <f t="shared" si="52"/>
        <v>40853.082268341481</v>
      </c>
      <c r="I834" s="729">
        <f t="shared" si="49"/>
        <v>0</v>
      </c>
      <c r="J834" s="729"/>
      <c r="K834" s="881"/>
      <c r="L834" s="735"/>
      <c r="M834" s="881"/>
      <c r="N834" s="735"/>
      <c r="O834" s="735"/>
    </row>
    <row r="835" spans="2:15">
      <c r="B835" s="334"/>
      <c r="C835" s="725">
        <f>IF(D809="","-",+C834+1)</f>
        <v>2034</v>
      </c>
      <c r="D835" s="676">
        <f t="shared" si="50"/>
        <v>303919.06779660971</v>
      </c>
      <c r="E835" s="732">
        <f t="shared" si="53"/>
        <v>7645.7627118644068</v>
      </c>
      <c r="F835" s="676">
        <f t="shared" si="48"/>
        <v>296273.30508474528</v>
      </c>
      <c r="G835" s="1277">
        <f t="shared" si="51"/>
        <v>40028.055695509749</v>
      </c>
      <c r="H835" s="1280">
        <f t="shared" si="52"/>
        <v>40028.055695509749</v>
      </c>
      <c r="I835" s="729">
        <f t="shared" si="49"/>
        <v>0</v>
      </c>
      <c r="J835" s="729"/>
      <c r="K835" s="881"/>
      <c r="L835" s="735"/>
      <c r="M835" s="881"/>
      <c r="N835" s="735"/>
      <c r="O835" s="735"/>
    </row>
    <row r="836" spans="2:15">
      <c r="B836" s="334"/>
      <c r="C836" s="725">
        <f>IF(D809="","-",+C835+1)</f>
        <v>2035</v>
      </c>
      <c r="D836" s="676">
        <f t="shared" si="50"/>
        <v>296273.30508474528</v>
      </c>
      <c r="E836" s="732">
        <f t="shared" si="53"/>
        <v>7645.7627118644068</v>
      </c>
      <c r="F836" s="676">
        <f t="shared" si="48"/>
        <v>288627.54237288085</v>
      </c>
      <c r="G836" s="1277">
        <f t="shared" si="51"/>
        <v>39203.029122678017</v>
      </c>
      <c r="H836" s="1280">
        <f t="shared" si="52"/>
        <v>39203.029122678017</v>
      </c>
      <c r="I836" s="729">
        <f t="shared" si="49"/>
        <v>0</v>
      </c>
      <c r="J836" s="729"/>
      <c r="K836" s="881"/>
      <c r="L836" s="735"/>
      <c r="M836" s="881"/>
      <c r="N836" s="735"/>
      <c r="O836" s="735"/>
    </row>
    <row r="837" spans="2:15">
      <c r="B837" s="334"/>
      <c r="C837" s="725">
        <f>IF(D809="","-",+C836+1)</f>
        <v>2036</v>
      </c>
      <c r="D837" s="676">
        <f t="shared" si="50"/>
        <v>288627.54237288085</v>
      </c>
      <c r="E837" s="732">
        <f t="shared" si="53"/>
        <v>7645.7627118644068</v>
      </c>
      <c r="F837" s="676">
        <f t="shared" si="48"/>
        <v>280981.77966101642</v>
      </c>
      <c r="G837" s="1277">
        <f t="shared" si="51"/>
        <v>38378.002549846286</v>
      </c>
      <c r="H837" s="1280">
        <f t="shared" si="52"/>
        <v>38378.002549846286</v>
      </c>
      <c r="I837" s="729">
        <f t="shared" si="49"/>
        <v>0</v>
      </c>
      <c r="J837" s="729"/>
      <c r="K837" s="881"/>
      <c r="L837" s="735"/>
      <c r="M837" s="881"/>
      <c r="N837" s="735"/>
      <c r="O837" s="735"/>
    </row>
    <row r="838" spans="2:15">
      <c r="B838" s="334"/>
      <c r="C838" s="725">
        <f>IF(D809="","-",+C837+1)</f>
        <v>2037</v>
      </c>
      <c r="D838" s="676">
        <f t="shared" si="50"/>
        <v>280981.77966101642</v>
      </c>
      <c r="E838" s="732">
        <f t="shared" si="53"/>
        <v>7645.7627118644068</v>
      </c>
      <c r="F838" s="676">
        <f t="shared" si="48"/>
        <v>273336.01694915199</v>
      </c>
      <c r="G838" s="1277">
        <f t="shared" si="51"/>
        <v>37552.975977014554</v>
      </c>
      <c r="H838" s="1280">
        <f t="shared" si="52"/>
        <v>37552.975977014554</v>
      </c>
      <c r="I838" s="729">
        <f t="shared" si="49"/>
        <v>0</v>
      </c>
      <c r="J838" s="729"/>
      <c r="K838" s="881"/>
      <c r="L838" s="735"/>
      <c r="M838" s="881"/>
      <c r="N838" s="735"/>
      <c r="O838" s="735"/>
    </row>
    <row r="839" spans="2:15">
      <c r="B839" s="334"/>
      <c r="C839" s="725">
        <f>IF(D809="","-",+C838+1)</f>
        <v>2038</v>
      </c>
      <c r="D839" s="676">
        <f t="shared" si="50"/>
        <v>273336.01694915199</v>
      </c>
      <c r="E839" s="732">
        <f t="shared" si="53"/>
        <v>7645.7627118644068</v>
      </c>
      <c r="F839" s="676">
        <f t="shared" si="48"/>
        <v>265690.25423728756</v>
      </c>
      <c r="G839" s="1277">
        <f t="shared" si="51"/>
        <v>36727.949404182822</v>
      </c>
      <c r="H839" s="1280">
        <f t="shared" si="52"/>
        <v>36727.949404182822</v>
      </c>
      <c r="I839" s="729">
        <f t="shared" si="49"/>
        <v>0</v>
      </c>
      <c r="J839" s="729"/>
      <c r="K839" s="881"/>
      <c r="L839" s="735"/>
      <c r="M839" s="881"/>
      <c r="N839" s="735"/>
      <c r="O839" s="735"/>
    </row>
    <row r="840" spans="2:15">
      <c r="B840" s="334"/>
      <c r="C840" s="725">
        <f>IF(D809="","-",+C839+1)</f>
        <v>2039</v>
      </c>
      <c r="D840" s="676">
        <f t="shared" si="50"/>
        <v>265690.25423728756</v>
      </c>
      <c r="E840" s="732">
        <f t="shared" si="53"/>
        <v>7645.7627118644068</v>
      </c>
      <c r="F840" s="676">
        <f t="shared" si="48"/>
        <v>258044.49152542316</v>
      </c>
      <c r="G840" s="1277">
        <f t="shared" si="51"/>
        <v>35902.92283135109</v>
      </c>
      <c r="H840" s="1280">
        <f t="shared" si="52"/>
        <v>35902.92283135109</v>
      </c>
      <c r="I840" s="729">
        <f t="shared" si="49"/>
        <v>0</v>
      </c>
      <c r="J840" s="729"/>
      <c r="K840" s="881"/>
      <c r="L840" s="735"/>
      <c r="M840" s="881"/>
      <c r="N840" s="735"/>
      <c r="O840" s="735"/>
    </row>
    <row r="841" spans="2:15">
      <c r="B841" s="334"/>
      <c r="C841" s="725">
        <f>IF(D809="","-",+C840+1)</f>
        <v>2040</v>
      </c>
      <c r="D841" s="676">
        <f t="shared" si="50"/>
        <v>258044.49152542316</v>
      </c>
      <c r="E841" s="732">
        <f t="shared" si="53"/>
        <v>7645.7627118644068</v>
      </c>
      <c r="F841" s="676">
        <f t="shared" si="48"/>
        <v>250398.72881355876</v>
      </c>
      <c r="G841" s="1277">
        <f t="shared" si="51"/>
        <v>35077.896258519359</v>
      </c>
      <c r="H841" s="1280">
        <f t="shared" si="52"/>
        <v>35077.896258519359</v>
      </c>
      <c r="I841" s="729">
        <f t="shared" si="49"/>
        <v>0</v>
      </c>
      <c r="J841" s="729"/>
      <c r="K841" s="881"/>
      <c r="L841" s="735"/>
      <c r="M841" s="881"/>
      <c r="N841" s="735"/>
      <c r="O841" s="735"/>
    </row>
    <row r="842" spans="2:15">
      <c r="B842" s="334"/>
      <c r="C842" s="725">
        <f>IF(D809="","-",+C841+1)</f>
        <v>2041</v>
      </c>
      <c r="D842" s="676">
        <f t="shared" si="50"/>
        <v>250398.72881355876</v>
      </c>
      <c r="E842" s="732">
        <f t="shared" si="53"/>
        <v>7645.7627118644068</v>
      </c>
      <c r="F842" s="676">
        <f t="shared" si="48"/>
        <v>242752.96610169436</v>
      </c>
      <c r="G842" s="1277">
        <f t="shared" si="51"/>
        <v>34252.869685687627</v>
      </c>
      <c r="H842" s="1280">
        <f t="shared" si="52"/>
        <v>34252.869685687627</v>
      </c>
      <c r="I842" s="729">
        <f t="shared" si="49"/>
        <v>0</v>
      </c>
      <c r="J842" s="729"/>
      <c r="K842" s="881"/>
      <c r="L842" s="735"/>
      <c r="M842" s="881"/>
      <c r="N842" s="735"/>
      <c r="O842" s="735"/>
    </row>
    <row r="843" spans="2:15">
      <c r="B843" s="334"/>
      <c r="C843" s="725">
        <f>IF(D809="","-",+C842+1)</f>
        <v>2042</v>
      </c>
      <c r="D843" s="676">
        <f t="shared" si="50"/>
        <v>242752.96610169436</v>
      </c>
      <c r="E843" s="732">
        <f t="shared" si="53"/>
        <v>7645.7627118644068</v>
      </c>
      <c r="F843" s="676">
        <f t="shared" si="48"/>
        <v>235107.20338982996</v>
      </c>
      <c r="G843" s="1286">
        <f t="shared" si="51"/>
        <v>33427.843112855902</v>
      </c>
      <c r="H843" s="1280">
        <f t="shared" si="52"/>
        <v>33427.843112855902</v>
      </c>
      <c r="I843" s="729">
        <f t="shared" si="49"/>
        <v>0</v>
      </c>
      <c r="J843" s="729"/>
      <c r="K843" s="881"/>
      <c r="L843" s="735"/>
      <c r="M843" s="881"/>
      <c r="N843" s="735"/>
      <c r="O843" s="735"/>
    </row>
    <row r="844" spans="2:15">
      <c r="B844" s="334"/>
      <c r="C844" s="725">
        <f>IF(D809="","-",+C843+1)</f>
        <v>2043</v>
      </c>
      <c r="D844" s="676">
        <f t="shared" si="50"/>
        <v>235107.20338982996</v>
      </c>
      <c r="E844" s="732">
        <f t="shared" si="53"/>
        <v>7645.7627118644068</v>
      </c>
      <c r="F844" s="676">
        <f t="shared" si="48"/>
        <v>227461.44067796555</v>
      </c>
      <c r="G844" s="1277">
        <f t="shared" si="51"/>
        <v>32602.816540024171</v>
      </c>
      <c r="H844" s="1280">
        <f t="shared" si="52"/>
        <v>32602.816540024171</v>
      </c>
      <c r="I844" s="729">
        <f t="shared" si="49"/>
        <v>0</v>
      </c>
      <c r="J844" s="729"/>
      <c r="K844" s="881"/>
      <c r="L844" s="735"/>
      <c r="M844" s="881"/>
      <c r="N844" s="735"/>
      <c r="O844" s="735"/>
    </row>
    <row r="845" spans="2:15">
      <c r="B845" s="334"/>
      <c r="C845" s="725">
        <f>IF(D809="","-",+C844+1)</f>
        <v>2044</v>
      </c>
      <c r="D845" s="676">
        <f t="shared" si="50"/>
        <v>227461.44067796555</v>
      </c>
      <c r="E845" s="732">
        <f t="shared" si="53"/>
        <v>7645.7627118644068</v>
      </c>
      <c r="F845" s="676">
        <f t="shared" si="48"/>
        <v>219815.67796610115</v>
      </c>
      <c r="G845" s="1277">
        <f t="shared" si="51"/>
        <v>31777.789967192446</v>
      </c>
      <c r="H845" s="1280">
        <f t="shared" si="52"/>
        <v>31777.789967192446</v>
      </c>
      <c r="I845" s="729">
        <f t="shared" si="49"/>
        <v>0</v>
      </c>
      <c r="J845" s="729"/>
      <c r="K845" s="881"/>
      <c r="L845" s="735"/>
      <c r="M845" s="881"/>
      <c r="N845" s="735"/>
      <c r="O845" s="735"/>
    </row>
    <row r="846" spans="2:15">
      <c r="B846" s="334"/>
      <c r="C846" s="725">
        <f>IF(D809="","-",+C845+1)</f>
        <v>2045</v>
      </c>
      <c r="D846" s="676">
        <f t="shared" si="50"/>
        <v>219815.67796610115</v>
      </c>
      <c r="E846" s="732">
        <f t="shared" si="53"/>
        <v>7645.7627118644068</v>
      </c>
      <c r="F846" s="676">
        <f t="shared" si="48"/>
        <v>212169.91525423675</v>
      </c>
      <c r="G846" s="1277">
        <f t="shared" si="51"/>
        <v>30952.763394360714</v>
      </c>
      <c r="H846" s="1280">
        <f t="shared" si="52"/>
        <v>30952.763394360714</v>
      </c>
      <c r="I846" s="729">
        <f t="shared" si="49"/>
        <v>0</v>
      </c>
      <c r="J846" s="729"/>
      <c r="K846" s="881"/>
      <c r="L846" s="735"/>
      <c r="M846" s="881"/>
      <c r="N846" s="735"/>
      <c r="O846" s="735"/>
    </row>
    <row r="847" spans="2:15">
      <c r="B847" s="334"/>
      <c r="C847" s="725">
        <f>IF(D809="","-",+C846+1)</f>
        <v>2046</v>
      </c>
      <c r="D847" s="676">
        <f t="shared" si="50"/>
        <v>212169.91525423675</v>
      </c>
      <c r="E847" s="732">
        <f t="shared" si="53"/>
        <v>7645.7627118644068</v>
      </c>
      <c r="F847" s="676">
        <f t="shared" si="48"/>
        <v>204524.15254237235</v>
      </c>
      <c r="G847" s="1277">
        <f t="shared" si="51"/>
        <v>30127.73682152899</v>
      </c>
      <c r="H847" s="1280">
        <f t="shared" si="52"/>
        <v>30127.73682152899</v>
      </c>
      <c r="I847" s="729">
        <f t="shared" si="49"/>
        <v>0</v>
      </c>
      <c r="J847" s="729"/>
      <c r="K847" s="881"/>
      <c r="L847" s="735"/>
      <c r="M847" s="881"/>
      <c r="N847" s="735"/>
      <c r="O847" s="735"/>
    </row>
    <row r="848" spans="2:15">
      <c r="B848" s="334"/>
      <c r="C848" s="725">
        <f>IF(D809="","-",+C847+1)</f>
        <v>2047</v>
      </c>
      <c r="D848" s="676">
        <f t="shared" si="50"/>
        <v>204524.15254237235</v>
      </c>
      <c r="E848" s="732">
        <f t="shared" si="53"/>
        <v>7645.7627118644068</v>
      </c>
      <c r="F848" s="676">
        <f t="shared" si="48"/>
        <v>196878.38983050795</v>
      </c>
      <c r="G848" s="1277">
        <f t="shared" si="51"/>
        <v>29302.710248697258</v>
      </c>
      <c r="H848" s="1280">
        <f t="shared" si="52"/>
        <v>29302.710248697258</v>
      </c>
      <c r="I848" s="729">
        <f t="shared" si="49"/>
        <v>0</v>
      </c>
      <c r="J848" s="729"/>
      <c r="K848" s="881"/>
      <c r="L848" s="735"/>
      <c r="M848" s="881"/>
      <c r="N848" s="735"/>
      <c r="O848" s="735"/>
    </row>
    <row r="849" spans="2:15">
      <c r="B849" s="334"/>
      <c r="C849" s="725">
        <f>IF(D809="","-",+C848+1)</f>
        <v>2048</v>
      </c>
      <c r="D849" s="676">
        <f t="shared" si="50"/>
        <v>196878.38983050795</v>
      </c>
      <c r="E849" s="732">
        <f t="shared" si="53"/>
        <v>7645.7627118644068</v>
      </c>
      <c r="F849" s="676">
        <f t="shared" si="48"/>
        <v>189232.62711864355</v>
      </c>
      <c r="G849" s="1277">
        <f t="shared" si="51"/>
        <v>28477.683675865526</v>
      </c>
      <c r="H849" s="1280">
        <f t="shared" si="52"/>
        <v>28477.683675865526</v>
      </c>
      <c r="I849" s="729">
        <f t="shared" si="49"/>
        <v>0</v>
      </c>
      <c r="J849" s="729"/>
      <c r="K849" s="881"/>
      <c r="L849" s="735"/>
      <c r="M849" s="881"/>
      <c r="N849" s="735"/>
      <c r="O849" s="735"/>
    </row>
    <row r="850" spans="2:15">
      <c r="B850" s="334"/>
      <c r="C850" s="725">
        <f>IF(D809="","-",+C849+1)</f>
        <v>2049</v>
      </c>
      <c r="D850" s="676">
        <f t="shared" si="50"/>
        <v>189232.62711864355</v>
      </c>
      <c r="E850" s="732">
        <f t="shared" si="53"/>
        <v>7645.7627118644068</v>
      </c>
      <c r="F850" s="676">
        <f t="shared" si="48"/>
        <v>181586.86440677915</v>
      </c>
      <c r="G850" s="1277">
        <f t="shared" si="51"/>
        <v>27652.657103033795</v>
      </c>
      <c r="H850" s="1280">
        <f t="shared" si="52"/>
        <v>27652.657103033795</v>
      </c>
      <c r="I850" s="729">
        <f t="shared" si="49"/>
        <v>0</v>
      </c>
      <c r="J850" s="729"/>
      <c r="K850" s="881"/>
      <c r="L850" s="735"/>
      <c r="M850" s="881"/>
      <c r="N850" s="735"/>
      <c r="O850" s="735"/>
    </row>
    <row r="851" spans="2:15">
      <c r="B851" s="334"/>
      <c r="C851" s="725">
        <f>IF(D809="","-",+C850+1)</f>
        <v>2050</v>
      </c>
      <c r="D851" s="676">
        <f t="shared" si="50"/>
        <v>181586.86440677915</v>
      </c>
      <c r="E851" s="732">
        <f t="shared" si="53"/>
        <v>7645.7627118644068</v>
      </c>
      <c r="F851" s="676">
        <f t="shared" si="48"/>
        <v>173941.10169491475</v>
      </c>
      <c r="G851" s="1277">
        <f t="shared" si="51"/>
        <v>26827.63053020207</v>
      </c>
      <c r="H851" s="1280">
        <f t="shared" si="52"/>
        <v>26827.63053020207</v>
      </c>
      <c r="I851" s="729">
        <f t="shared" si="49"/>
        <v>0</v>
      </c>
      <c r="J851" s="729"/>
      <c r="K851" s="881"/>
      <c r="L851" s="735"/>
      <c r="M851" s="881"/>
      <c r="N851" s="735"/>
      <c r="O851" s="735"/>
    </row>
    <row r="852" spans="2:15">
      <c r="B852" s="334"/>
      <c r="C852" s="725">
        <f>IF(D809="","-",+C851+1)</f>
        <v>2051</v>
      </c>
      <c r="D852" s="676">
        <f t="shared" si="50"/>
        <v>173941.10169491475</v>
      </c>
      <c r="E852" s="732">
        <f t="shared" si="53"/>
        <v>7645.7627118644068</v>
      </c>
      <c r="F852" s="676">
        <f t="shared" si="48"/>
        <v>166295.33898305034</v>
      </c>
      <c r="G852" s="1277">
        <f t="shared" si="51"/>
        <v>26002.603957370338</v>
      </c>
      <c r="H852" s="1280">
        <f t="shared" si="52"/>
        <v>26002.603957370338</v>
      </c>
      <c r="I852" s="729">
        <f t="shared" si="49"/>
        <v>0</v>
      </c>
      <c r="J852" s="729"/>
      <c r="K852" s="881"/>
      <c r="L852" s="735"/>
      <c r="M852" s="881"/>
      <c r="N852" s="735"/>
      <c r="O852" s="735"/>
    </row>
    <row r="853" spans="2:15">
      <c r="B853" s="334"/>
      <c r="C853" s="725">
        <f>IF(D809="","-",+C852+1)</f>
        <v>2052</v>
      </c>
      <c r="D853" s="676">
        <f t="shared" si="50"/>
        <v>166295.33898305034</v>
      </c>
      <c r="E853" s="732">
        <f t="shared" si="53"/>
        <v>7645.7627118644068</v>
      </c>
      <c r="F853" s="676">
        <f t="shared" si="48"/>
        <v>158649.57627118594</v>
      </c>
      <c r="G853" s="1277">
        <f t="shared" si="51"/>
        <v>25177.577384538614</v>
      </c>
      <c r="H853" s="1280">
        <f t="shared" si="52"/>
        <v>25177.577384538614</v>
      </c>
      <c r="I853" s="729">
        <f t="shared" si="49"/>
        <v>0</v>
      </c>
      <c r="J853" s="729"/>
      <c r="K853" s="881"/>
      <c r="L853" s="735"/>
      <c r="M853" s="881"/>
      <c r="N853" s="735"/>
      <c r="O853" s="735"/>
    </row>
    <row r="854" spans="2:15">
      <c r="B854" s="334"/>
      <c r="C854" s="725">
        <f>IF(D809="","-",+C853+1)</f>
        <v>2053</v>
      </c>
      <c r="D854" s="676">
        <f t="shared" si="50"/>
        <v>158649.57627118594</v>
      </c>
      <c r="E854" s="732">
        <f t="shared" si="53"/>
        <v>7645.7627118644068</v>
      </c>
      <c r="F854" s="676">
        <f t="shared" si="48"/>
        <v>151003.81355932154</v>
      </c>
      <c r="G854" s="1277">
        <f t="shared" si="51"/>
        <v>24352.550811706882</v>
      </c>
      <c r="H854" s="1280">
        <f t="shared" si="52"/>
        <v>24352.550811706882</v>
      </c>
      <c r="I854" s="729">
        <f t="shared" si="49"/>
        <v>0</v>
      </c>
      <c r="J854" s="729"/>
      <c r="K854" s="881"/>
      <c r="L854" s="735"/>
      <c r="M854" s="881"/>
      <c r="N854" s="735"/>
      <c r="O854" s="735"/>
    </row>
    <row r="855" spans="2:15">
      <c r="B855" s="334"/>
      <c r="C855" s="725">
        <f>IF(D809="","-",+C854+1)</f>
        <v>2054</v>
      </c>
      <c r="D855" s="676">
        <f t="shared" si="50"/>
        <v>151003.81355932154</v>
      </c>
      <c r="E855" s="732">
        <f t="shared" si="53"/>
        <v>7645.7627118644068</v>
      </c>
      <c r="F855" s="676">
        <f t="shared" si="48"/>
        <v>143358.05084745714</v>
      </c>
      <c r="G855" s="1277">
        <f t="shared" si="51"/>
        <v>23527.524238875154</v>
      </c>
      <c r="H855" s="1280">
        <f t="shared" si="52"/>
        <v>23527.524238875154</v>
      </c>
      <c r="I855" s="729">
        <f t="shared" si="49"/>
        <v>0</v>
      </c>
      <c r="J855" s="729"/>
      <c r="K855" s="881"/>
      <c r="L855" s="735"/>
      <c r="M855" s="881"/>
      <c r="N855" s="735"/>
      <c r="O855" s="735"/>
    </row>
    <row r="856" spans="2:15">
      <c r="B856" s="334"/>
      <c r="C856" s="725">
        <f>IF(D809="","-",+C855+1)</f>
        <v>2055</v>
      </c>
      <c r="D856" s="676">
        <f t="shared" si="50"/>
        <v>143358.05084745714</v>
      </c>
      <c r="E856" s="732">
        <f t="shared" si="53"/>
        <v>7645.7627118644068</v>
      </c>
      <c r="F856" s="676">
        <f t="shared" si="48"/>
        <v>135712.28813559274</v>
      </c>
      <c r="G856" s="1277">
        <f t="shared" si="51"/>
        <v>22702.497666043419</v>
      </c>
      <c r="H856" s="1280">
        <f t="shared" si="52"/>
        <v>22702.497666043419</v>
      </c>
      <c r="I856" s="729">
        <f t="shared" si="49"/>
        <v>0</v>
      </c>
      <c r="J856" s="729"/>
      <c r="K856" s="881"/>
      <c r="L856" s="735"/>
      <c r="M856" s="881"/>
      <c r="N856" s="735"/>
      <c r="O856" s="735"/>
    </row>
    <row r="857" spans="2:15">
      <c r="B857" s="334"/>
      <c r="C857" s="725">
        <f>IF(D809="","-",+C856+1)</f>
        <v>2056</v>
      </c>
      <c r="D857" s="676">
        <f t="shared" si="50"/>
        <v>135712.28813559274</v>
      </c>
      <c r="E857" s="732">
        <f t="shared" si="53"/>
        <v>7645.7627118644068</v>
      </c>
      <c r="F857" s="676">
        <f t="shared" si="48"/>
        <v>128066.52542372834</v>
      </c>
      <c r="G857" s="1277">
        <f t="shared" si="51"/>
        <v>21877.471093211694</v>
      </c>
      <c r="H857" s="1280">
        <f t="shared" si="52"/>
        <v>21877.471093211694</v>
      </c>
      <c r="I857" s="729">
        <f t="shared" si="49"/>
        <v>0</v>
      </c>
      <c r="J857" s="729"/>
      <c r="K857" s="881"/>
      <c r="L857" s="735"/>
      <c r="M857" s="881"/>
      <c r="N857" s="735"/>
      <c r="O857" s="735"/>
    </row>
    <row r="858" spans="2:15">
      <c r="B858" s="334"/>
      <c r="C858" s="725">
        <f>IF(D809="","-",+C857+1)</f>
        <v>2057</v>
      </c>
      <c r="D858" s="676">
        <f t="shared" si="50"/>
        <v>128066.52542372834</v>
      </c>
      <c r="E858" s="732">
        <f t="shared" si="53"/>
        <v>7645.7627118644068</v>
      </c>
      <c r="F858" s="676">
        <f t="shared" si="48"/>
        <v>120420.76271186394</v>
      </c>
      <c r="G858" s="1277">
        <f t="shared" si="51"/>
        <v>21052.444520379962</v>
      </c>
      <c r="H858" s="1280">
        <f t="shared" si="52"/>
        <v>21052.444520379962</v>
      </c>
      <c r="I858" s="729">
        <f t="shared" si="49"/>
        <v>0</v>
      </c>
      <c r="J858" s="729"/>
      <c r="K858" s="881"/>
      <c r="L858" s="735"/>
      <c r="M858" s="881"/>
      <c r="N858" s="735"/>
      <c r="O858" s="735"/>
    </row>
    <row r="859" spans="2:15">
      <c r="B859" s="334"/>
      <c r="C859" s="725">
        <f>IF(D809="","-",+C858+1)</f>
        <v>2058</v>
      </c>
      <c r="D859" s="676">
        <f t="shared" si="50"/>
        <v>120420.76271186394</v>
      </c>
      <c r="E859" s="732">
        <f t="shared" si="53"/>
        <v>7645.7627118644068</v>
      </c>
      <c r="F859" s="676">
        <f t="shared" si="48"/>
        <v>112774.99999999953</v>
      </c>
      <c r="G859" s="1277">
        <f t="shared" si="51"/>
        <v>20227.417947548238</v>
      </c>
      <c r="H859" s="1280">
        <f t="shared" si="52"/>
        <v>20227.417947548238</v>
      </c>
      <c r="I859" s="729">
        <f t="shared" si="49"/>
        <v>0</v>
      </c>
      <c r="J859" s="729"/>
      <c r="K859" s="881"/>
      <c r="L859" s="735"/>
      <c r="M859" s="881"/>
      <c r="N859" s="735"/>
      <c r="O859" s="735"/>
    </row>
    <row r="860" spans="2:15">
      <c r="B860" s="334"/>
      <c r="C860" s="725">
        <f>IF(D809="","-",+C859+1)</f>
        <v>2059</v>
      </c>
      <c r="D860" s="676">
        <f t="shared" si="50"/>
        <v>112774.99999999953</v>
      </c>
      <c r="E860" s="732">
        <f t="shared" si="53"/>
        <v>7645.7627118644068</v>
      </c>
      <c r="F860" s="676">
        <f t="shared" si="48"/>
        <v>105129.23728813513</v>
      </c>
      <c r="G860" s="1277">
        <f t="shared" si="51"/>
        <v>19402.391374716506</v>
      </c>
      <c r="H860" s="1280">
        <f t="shared" si="52"/>
        <v>19402.391374716506</v>
      </c>
      <c r="I860" s="729">
        <f t="shared" si="49"/>
        <v>0</v>
      </c>
      <c r="J860" s="729"/>
      <c r="K860" s="881"/>
      <c r="L860" s="735"/>
      <c r="M860" s="881"/>
      <c r="N860" s="735"/>
      <c r="O860" s="735"/>
    </row>
    <row r="861" spans="2:15">
      <c r="B861" s="334"/>
      <c r="C861" s="725">
        <f>IF(D809="","-",+C860+1)</f>
        <v>2060</v>
      </c>
      <c r="D861" s="676">
        <f t="shared" si="50"/>
        <v>105129.23728813513</v>
      </c>
      <c r="E861" s="732">
        <f t="shared" si="53"/>
        <v>7645.7627118644068</v>
      </c>
      <c r="F861" s="676">
        <f t="shared" si="48"/>
        <v>97483.474576270732</v>
      </c>
      <c r="G861" s="1277">
        <f t="shared" si="51"/>
        <v>18577.364801884774</v>
      </c>
      <c r="H861" s="1280">
        <f t="shared" si="52"/>
        <v>18577.364801884774</v>
      </c>
      <c r="I861" s="729">
        <f t="shared" si="49"/>
        <v>0</v>
      </c>
      <c r="J861" s="729"/>
      <c r="K861" s="881"/>
      <c r="L861" s="735"/>
      <c r="M861" s="881"/>
      <c r="N861" s="735"/>
      <c r="O861" s="735"/>
    </row>
    <row r="862" spans="2:15">
      <c r="B862" s="334"/>
      <c r="C862" s="725">
        <f>IF(D809="","-",+C861+1)</f>
        <v>2061</v>
      </c>
      <c r="D862" s="676">
        <f t="shared" si="50"/>
        <v>97483.474576270732</v>
      </c>
      <c r="E862" s="732">
        <f t="shared" si="53"/>
        <v>7645.7627118644068</v>
      </c>
      <c r="F862" s="676">
        <f t="shared" si="48"/>
        <v>89837.71186440633</v>
      </c>
      <c r="G862" s="1277">
        <f t="shared" si="51"/>
        <v>17752.33822905305</v>
      </c>
      <c r="H862" s="1280">
        <f t="shared" si="52"/>
        <v>17752.33822905305</v>
      </c>
      <c r="I862" s="729">
        <f t="shared" si="49"/>
        <v>0</v>
      </c>
      <c r="J862" s="729"/>
      <c r="K862" s="881"/>
      <c r="L862" s="735"/>
      <c r="M862" s="881"/>
      <c r="N862" s="735"/>
      <c r="O862" s="735"/>
    </row>
    <row r="863" spans="2:15">
      <c r="B863" s="334"/>
      <c r="C863" s="725">
        <f>IF(D809="","-",+C862+1)</f>
        <v>2062</v>
      </c>
      <c r="D863" s="676">
        <f t="shared" si="50"/>
        <v>89837.71186440633</v>
      </c>
      <c r="E863" s="732">
        <f t="shared" si="53"/>
        <v>7645.7627118644068</v>
      </c>
      <c r="F863" s="676">
        <f t="shared" si="48"/>
        <v>82191.949152541929</v>
      </c>
      <c r="G863" s="1277">
        <f t="shared" si="51"/>
        <v>16927.311656221318</v>
      </c>
      <c r="H863" s="1280">
        <f t="shared" si="52"/>
        <v>16927.311656221318</v>
      </c>
      <c r="I863" s="729">
        <f t="shared" si="49"/>
        <v>0</v>
      </c>
      <c r="J863" s="729"/>
      <c r="K863" s="881"/>
      <c r="L863" s="735"/>
      <c r="M863" s="881"/>
      <c r="N863" s="735"/>
      <c r="O863" s="735"/>
    </row>
    <row r="864" spans="2:15">
      <c r="B864" s="334"/>
      <c r="C864" s="725">
        <f>IF(D809="","-",+C863+1)</f>
        <v>2063</v>
      </c>
      <c r="D864" s="676">
        <f t="shared" si="50"/>
        <v>82191.949152541929</v>
      </c>
      <c r="E864" s="732">
        <f t="shared" si="53"/>
        <v>7645.7627118644068</v>
      </c>
      <c r="F864" s="676">
        <f t="shared" si="48"/>
        <v>74546.186440677528</v>
      </c>
      <c r="G864" s="1277">
        <f t="shared" si="51"/>
        <v>16102.28508338959</v>
      </c>
      <c r="H864" s="1280">
        <f t="shared" si="52"/>
        <v>16102.28508338959</v>
      </c>
      <c r="I864" s="729">
        <f t="shared" si="49"/>
        <v>0</v>
      </c>
      <c r="J864" s="729"/>
      <c r="K864" s="881"/>
      <c r="L864" s="735"/>
      <c r="M864" s="881"/>
      <c r="N864" s="735"/>
      <c r="O864" s="735"/>
    </row>
    <row r="865" spans="2:15">
      <c r="B865" s="334"/>
      <c r="C865" s="725">
        <f>IF(D809="","-",+C864+1)</f>
        <v>2064</v>
      </c>
      <c r="D865" s="676">
        <f t="shared" si="50"/>
        <v>74546.186440677528</v>
      </c>
      <c r="E865" s="732">
        <f t="shared" si="53"/>
        <v>7645.7627118644068</v>
      </c>
      <c r="F865" s="676">
        <f t="shared" si="48"/>
        <v>66900.423728813126</v>
      </c>
      <c r="G865" s="1277">
        <f t="shared" si="51"/>
        <v>15277.25851055786</v>
      </c>
      <c r="H865" s="1280">
        <f t="shared" si="52"/>
        <v>15277.25851055786</v>
      </c>
      <c r="I865" s="729">
        <f t="shared" si="49"/>
        <v>0</v>
      </c>
      <c r="J865" s="729"/>
      <c r="K865" s="881"/>
      <c r="L865" s="735"/>
      <c r="M865" s="881"/>
      <c r="N865" s="735"/>
      <c r="O865" s="735"/>
    </row>
    <row r="866" spans="2:15">
      <c r="B866" s="334"/>
      <c r="C866" s="725">
        <f>IF(D809="","-",+C865+1)</f>
        <v>2065</v>
      </c>
      <c r="D866" s="676">
        <f t="shared" si="50"/>
        <v>66900.423728813126</v>
      </c>
      <c r="E866" s="732">
        <f t="shared" si="53"/>
        <v>7645.7627118644068</v>
      </c>
      <c r="F866" s="676">
        <f t="shared" si="48"/>
        <v>59254.661016948718</v>
      </c>
      <c r="G866" s="1277">
        <f t="shared" si="51"/>
        <v>14452.23193772613</v>
      </c>
      <c r="H866" s="1280">
        <f t="shared" si="52"/>
        <v>14452.23193772613</v>
      </c>
      <c r="I866" s="729">
        <f t="shared" si="49"/>
        <v>0</v>
      </c>
      <c r="J866" s="729"/>
      <c r="K866" s="881"/>
      <c r="L866" s="735"/>
      <c r="M866" s="881"/>
      <c r="N866" s="735"/>
      <c r="O866" s="735"/>
    </row>
    <row r="867" spans="2:15">
      <c r="B867" s="334"/>
      <c r="C867" s="725">
        <f>IF(D809="","-",+C866+1)</f>
        <v>2066</v>
      </c>
      <c r="D867" s="676">
        <f t="shared" si="50"/>
        <v>59254.661016948718</v>
      </c>
      <c r="E867" s="732">
        <f t="shared" si="53"/>
        <v>7645.7627118644068</v>
      </c>
      <c r="F867" s="676">
        <f t="shared" si="48"/>
        <v>51608.898305084309</v>
      </c>
      <c r="G867" s="1277">
        <f t="shared" si="51"/>
        <v>13627.2053648944</v>
      </c>
      <c r="H867" s="1280">
        <f t="shared" si="52"/>
        <v>13627.2053648944</v>
      </c>
      <c r="I867" s="729">
        <f t="shared" si="49"/>
        <v>0</v>
      </c>
      <c r="J867" s="729"/>
      <c r="K867" s="881"/>
      <c r="L867" s="735"/>
      <c r="M867" s="881"/>
      <c r="N867" s="735"/>
      <c r="O867" s="735"/>
    </row>
    <row r="868" spans="2:15">
      <c r="B868" s="334"/>
      <c r="C868" s="725">
        <f>IF(D809="","-",+C867+1)</f>
        <v>2067</v>
      </c>
      <c r="D868" s="676">
        <f t="shared" si="50"/>
        <v>51608.898305084309</v>
      </c>
      <c r="E868" s="732">
        <f t="shared" si="53"/>
        <v>7645.7627118644068</v>
      </c>
      <c r="F868" s="676">
        <f t="shared" si="48"/>
        <v>43963.1355932199</v>
      </c>
      <c r="G868" s="1277">
        <f t="shared" si="51"/>
        <v>12802.17879206267</v>
      </c>
      <c r="H868" s="1280">
        <f t="shared" si="52"/>
        <v>12802.17879206267</v>
      </c>
      <c r="I868" s="729">
        <f t="shared" si="49"/>
        <v>0</v>
      </c>
      <c r="J868" s="729"/>
      <c r="K868" s="881"/>
      <c r="L868" s="735"/>
      <c r="M868" s="881"/>
      <c r="N868" s="735"/>
      <c r="O868" s="735"/>
    </row>
    <row r="869" spans="2:15">
      <c r="B869" s="334"/>
      <c r="C869" s="725">
        <f>IF(D809="","-",+C868+1)</f>
        <v>2068</v>
      </c>
      <c r="D869" s="676">
        <f t="shared" si="50"/>
        <v>43963.1355932199</v>
      </c>
      <c r="E869" s="732">
        <f t="shared" si="53"/>
        <v>7645.7627118644068</v>
      </c>
      <c r="F869" s="676">
        <f t="shared" si="48"/>
        <v>36317.372881355492</v>
      </c>
      <c r="G869" s="1277">
        <f t="shared" si="51"/>
        <v>11977.15221923094</v>
      </c>
      <c r="H869" s="1280">
        <f t="shared" si="52"/>
        <v>11977.15221923094</v>
      </c>
      <c r="I869" s="729">
        <f t="shared" si="49"/>
        <v>0</v>
      </c>
      <c r="J869" s="729"/>
      <c r="K869" s="881"/>
      <c r="L869" s="735"/>
      <c r="M869" s="881"/>
      <c r="N869" s="735"/>
      <c r="O869" s="735"/>
    </row>
    <row r="870" spans="2:15">
      <c r="B870" s="334"/>
      <c r="C870" s="725">
        <f>IF(D809="","-",+C869+1)</f>
        <v>2069</v>
      </c>
      <c r="D870" s="676">
        <f t="shared" si="50"/>
        <v>36317.372881355492</v>
      </c>
      <c r="E870" s="732">
        <f t="shared" si="53"/>
        <v>7645.7627118644068</v>
      </c>
      <c r="F870" s="676">
        <f t="shared" si="48"/>
        <v>28671.610169491083</v>
      </c>
      <c r="G870" s="1277">
        <f t="shared" si="51"/>
        <v>11152.12564639921</v>
      </c>
      <c r="H870" s="1280">
        <f t="shared" si="52"/>
        <v>11152.12564639921</v>
      </c>
      <c r="I870" s="729">
        <f t="shared" si="49"/>
        <v>0</v>
      </c>
      <c r="J870" s="729"/>
      <c r="K870" s="881"/>
      <c r="L870" s="735"/>
      <c r="M870" s="881"/>
      <c r="N870" s="735"/>
      <c r="O870" s="735"/>
    </row>
    <row r="871" spans="2:15">
      <c r="B871" s="334"/>
      <c r="C871" s="725">
        <f>IF(D809="","-",+C870+1)</f>
        <v>2070</v>
      </c>
      <c r="D871" s="676">
        <f t="shared" si="50"/>
        <v>28671.610169491083</v>
      </c>
      <c r="E871" s="732">
        <f t="shared" si="53"/>
        <v>7645.7627118644068</v>
      </c>
      <c r="F871" s="676">
        <f t="shared" si="48"/>
        <v>21025.847457626674</v>
      </c>
      <c r="G871" s="1277">
        <f t="shared" si="51"/>
        <v>10327.09907356748</v>
      </c>
      <c r="H871" s="1280">
        <f t="shared" si="52"/>
        <v>10327.09907356748</v>
      </c>
      <c r="I871" s="729">
        <f t="shared" si="49"/>
        <v>0</v>
      </c>
      <c r="J871" s="729"/>
      <c r="K871" s="881"/>
      <c r="L871" s="735"/>
      <c r="M871" s="881"/>
      <c r="N871" s="735"/>
      <c r="O871" s="735"/>
    </row>
    <row r="872" spans="2:15">
      <c r="B872" s="334"/>
      <c r="C872" s="725">
        <f>IF(D809="","-",+C871+1)</f>
        <v>2071</v>
      </c>
      <c r="D872" s="676">
        <f t="shared" si="50"/>
        <v>21025.847457626674</v>
      </c>
      <c r="E872" s="732">
        <f t="shared" si="53"/>
        <v>7645.7627118644068</v>
      </c>
      <c r="F872" s="676">
        <f t="shared" si="48"/>
        <v>13380.084745762268</v>
      </c>
      <c r="G872" s="1277">
        <f t="shared" si="51"/>
        <v>9502.0725007357505</v>
      </c>
      <c r="H872" s="1280">
        <f t="shared" si="52"/>
        <v>9502.0725007357505</v>
      </c>
      <c r="I872" s="729">
        <f t="shared" si="49"/>
        <v>0</v>
      </c>
      <c r="J872" s="729"/>
      <c r="K872" s="881"/>
      <c r="L872" s="735"/>
      <c r="M872" s="881"/>
      <c r="N872" s="735"/>
      <c r="O872" s="735"/>
    </row>
    <row r="873" spans="2:15">
      <c r="B873" s="334"/>
      <c r="C873" s="725">
        <f>IF(D809="","-",+C872+1)</f>
        <v>2072</v>
      </c>
      <c r="D873" s="676">
        <f t="shared" si="50"/>
        <v>13380.084745762268</v>
      </c>
      <c r="E873" s="732">
        <f t="shared" si="53"/>
        <v>7645.7627118644068</v>
      </c>
      <c r="F873" s="676">
        <f t="shared" si="48"/>
        <v>5734.3220338978608</v>
      </c>
      <c r="G873" s="1277">
        <f t="shared" si="51"/>
        <v>8677.0459279040206</v>
      </c>
      <c r="H873" s="1280">
        <f t="shared" si="52"/>
        <v>8677.0459279040206</v>
      </c>
      <c r="I873" s="729">
        <f t="shared" si="49"/>
        <v>0</v>
      </c>
      <c r="J873" s="729"/>
      <c r="K873" s="881"/>
      <c r="L873" s="735"/>
      <c r="M873" s="881"/>
      <c r="N873" s="735"/>
      <c r="O873" s="735"/>
    </row>
    <row r="874" spans="2:15" ht="13.5" thickBot="1">
      <c r="B874" s="334"/>
      <c r="C874" s="737">
        <f>IF(D809="","-",+C873+1)</f>
        <v>2073</v>
      </c>
      <c r="D874" s="738">
        <f t="shared" si="50"/>
        <v>5734.3220338978608</v>
      </c>
      <c r="E874" s="739">
        <f t="shared" si="53"/>
        <v>5734.3220338978608</v>
      </c>
      <c r="F874" s="738">
        <f t="shared" si="48"/>
        <v>0</v>
      </c>
      <c r="G874" s="1287">
        <f t="shared" si="51"/>
        <v>6043.7069987097357</v>
      </c>
      <c r="H874" s="1287">
        <f t="shared" si="52"/>
        <v>6043.7069987097357</v>
      </c>
      <c r="I874" s="741">
        <f t="shared" si="49"/>
        <v>0</v>
      </c>
      <c r="J874" s="729"/>
      <c r="K874" s="882"/>
      <c r="L874" s="743"/>
      <c r="M874" s="882"/>
      <c r="N874" s="743"/>
      <c r="O874" s="743"/>
    </row>
    <row r="875" spans="2:15">
      <c r="B875" s="334"/>
      <c r="C875" s="676" t="s">
        <v>289</v>
      </c>
      <c r="D875" s="1258"/>
      <c r="E875" s="1258">
        <f>SUM(E815:E874)</f>
        <v>451100</v>
      </c>
      <c r="F875" s="1258"/>
      <c r="G875" s="1258">
        <f>SUM(G815:G874)</f>
        <v>1923566.1758614264</v>
      </c>
      <c r="H875" s="1258">
        <f>SUM(H815:H874)</f>
        <v>1923566.1758614264</v>
      </c>
      <c r="I875" s="1258">
        <f>SUM(I815:I874)</f>
        <v>0</v>
      </c>
      <c r="J875" s="1258"/>
      <c r="K875" s="1258"/>
      <c r="L875" s="1258"/>
      <c r="M875" s="1258"/>
      <c r="N875" s="1258"/>
      <c r="O875" s="543"/>
    </row>
    <row r="876" spans="2:15">
      <c r="B876" s="334"/>
      <c r="D876" s="566"/>
      <c r="E876" s="543"/>
      <c r="F876" s="543"/>
      <c r="G876" s="543"/>
      <c r="H876" s="1257"/>
      <c r="I876" s="1257"/>
      <c r="J876" s="1258"/>
      <c r="K876" s="1257"/>
      <c r="L876" s="1257"/>
      <c r="M876" s="1257"/>
      <c r="N876" s="1257"/>
      <c r="O876" s="543"/>
    </row>
    <row r="877" spans="2:15">
      <c r="B877" s="334"/>
      <c r="C877" s="543" t="s">
        <v>602</v>
      </c>
      <c r="D877" s="566"/>
      <c r="E877" s="543"/>
      <c r="F877" s="543"/>
      <c r="G877" s="543"/>
      <c r="H877" s="1257"/>
      <c r="I877" s="1257"/>
      <c r="J877" s="1258"/>
      <c r="K877" s="1257"/>
      <c r="L877" s="1257"/>
      <c r="M877" s="1257"/>
      <c r="N877" s="1257"/>
      <c r="O877" s="543"/>
    </row>
    <row r="878" spans="2:15">
      <c r="B878" s="334"/>
      <c r="D878" s="566"/>
      <c r="E878" s="543"/>
      <c r="F878" s="543"/>
      <c r="G878" s="543"/>
      <c r="H878" s="1257"/>
      <c r="I878" s="1257"/>
      <c r="J878" s="1258"/>
      <c r="K878" s="1257"/>
      <c r="L878" s="1257"/>
      <c r="M878" s="1257"/>
      <c r="N878" s="1257"/>
      <c r="O878" s="543"/>
    </row>
    <row r="879" spans="2:15">
      <c r="B879" s="334"/>
      <c r="C879" s="579" t="s">
        <v>603</v>
      </c>
      <c r="D879" s="676"/>
      <c r="E879" s="676"/>
      <c r="F879" s="676"/>
      <c r="G879" s="1258"/>
      <c r="H879" s="1258"/>
      <c r="I879" s="677"/>
      <c r="J879" s="677"/>
      <c r="K879" s="677"/>
      <c r="L879" s="677"/>
      <c r="M879" s="677"/>
      <c r="N879" s="677"/>
      <c r="O879" s="543"/>
    </row>
    <row r="880" spans="2:15">
      <c r="B880" s="334"/>
      <c r="C880" s="579" t="s">
        <v>477</v>
      </c>
      <c r="D880" s="676"/>
      <c r="E880" s="676"/>
      <c r="F880" s="676"/>
      <c r="G880" s="1258"/>
      <c r="H880" s="1258"/>
      <c r="I880" s="677"/>
      <c r="J880" s="677"/>
      <c r="K880" s="677"/>
      <c r="L880" s="677"/>
      <c r="M880" s="677"/>
      <c r="N880" s="677"/>
      <c r="O880" s="543"/>
    </row>
    <row r="881" spans="1:16">
      <c r="B881" s="334"/>
      <c r="C881" s="579" t="s">
        <v>290</v>
      </c>
      <c r="D881" s="676"/>
      <c r="E881" s="676"/>
      <c r="F881" s="676"/>
      <c r="G881" s="1258"/>
      <c r="H881" s="1258"/>
      <c r="I881" s="677"/>
      <c r="J881" s="677"/>
      <c r="K881" s="677"/>
      <c r="L881" s="677"/>
      <c r="M881" s="677"/>
      <c r="N881" s="677"/>
      <c r="O881" s="543"/>
    </row>
    <row r="882" spans="1:16">
      <c r="B882" s="334"/>
      <c r="C882" s="675"/>
      <c r="D882" s="676"/>
      <c r="E882" s="676"/>
      <c r="F882" s="676"/>
      <c r="G882" s="1258"/>
      <c r="H882" s="1258"/>
      <c r="I882" s="677"/>
      <c r="J882" s="677"/>
      <c r="K882" s="677"/>
      <c r="L882" s="677"/>
      <c r="M882" s="677"/>
      <c r="N882" s="677"/>
      <c r="O882" s="543"/>
    </row>
    <row r="883" spans="1:16">
      <c r="B883" s="334"/>
      <c r="C883" s="1436" t="s">
        <v>461</v>
      </c>
      <c r="D883" s="1436"/>
      <c r="E883" s="1436"/>
      <c r="F883" s="1436"/>
      <c r="G883" s="1436"/>
      <c r="H883" s="1436"/>
      <c r="I883" s="1436"/>
      <c r="J883" s="1436"/>
      <c r="K883" s="1436"/>
      <c r="L883" s="1436"/>
      <c r="M883" s="1436"/>
      <c r="N883" s="1436"/>
      <c r="O883" s="1436"/>
    </row>
    <row r="884" spans="1:16">
      <c r="B884" s="334"/>
      <c r="C884" s="1436"/>
      <c r="D884" s="1436"/>
      <c r="E884" s="1436"/>
      <c r="F884" s="1436"/>
      <c r="G884" s="1436"/>
      <c r="H884" s="1436"/>
      <c r="I884" s="1436"/>
      <c r="J884" s="1436"/>
      <c r="K884" s="1436"/>
      <c r="L884" s="1436"/>
      <c r="M884" s="1436"/>
      <c r="N884" s="1436"/>
      <c r="O884" s="1436"/>
    </row>
    <row r="885" spans="1:16" ht="20.25">
      <c r="A885" s="678" t="s">
        <v>993</v>
      </c>
      <c r="B885" s="543"/>
      <c r="C885" s="658"/>
      <c r="D885" s="566"/>
      <c r="E885" s="543"/>
      <c r="F885" s="648"/>
      <c r="G885" s="543"/>
      <c r="H885" s="1257"/>
      <c r="K885" s="679"/>
      <c r="L885" s="679"/>
      <c r="M885" s="679"/>
      <c r="N885" s="594" t="str">
        <f>"Page "&amp;SUM(P$6:P885)&amp;" of "</f>
        <v xml:space="preserve">Page 11 of </v>
      </c>
      <c r="O885" s="595">
        <f>COUNT(P$6:P$59606)</f>
        <v>14</v>
      </c>
      <c r="P885" s="543">
        <v>1</v>
      </c>
    </row>
    <row r="886" spans="1:16">
      <c r="B886" s="543"/>
      <c r="C886" s="543"/>
      <c r="D886" s="566"/>
      <c r="E886" s="543"/>
      <c r="F886" s="543"/>
      <c r="G886" s="543"/>
      <c r="H886" s="1257"/>
      <c r="I886" s="543"/>
      <c r="J886" s="591"/>
      <c r="K886" s="543"/>
      <c r="L886" s="543"/>
      <c r="M886" s="543"/>
      <c r="N886" s="543"/>
      <c r="O886" s="543"/>
    </row>
    <row r="887" spans="1:16" ht="18">
      <c r="B887" s="598" t="s">
        <v>175</v>
      </c>
      <c r="C887" s="680" t="s">
        <v>291</v>
      </c>
      <c r="D887" s="566"/>
      <c r="E887" s="543"/>
      <c r="F887" s="543"/>
      <c r="G887" s="543"/>
      <c r="H887" s="1257"/>
      <c r="I887" s="1257"/>
      <c r="J887" s="1258"/>
      <c r="K887" s="1257"/>
      <c r="L887" s="1257"/>
      <c r="M887" s="1257"/>
      <c r="N887" s="1257"/>
      <c r="O887" s="543"/>
    </row>
    <row r="888" spans="1:16" ht="18.75">
      <c r="B888" s="598"/>
      <c r="C888" s="597"/>
      <c r="D888" s="566"/>
      <c r="E888" s="543"/>
      <c r="F888" s="543"/>
      <c r="G888" s="543"/>
      <c r="H888" s="1257"/>
      <c r="I888" s="1257"/>
      <c r="J888" s="1258"/>
      <c r="K888" s="1257"/>
      <c r="L888" s="1257"/>
      <c r="M888" s="1257"/>
      <c r="N888" s="1257"/>
      <c r="O888" s="543"/>
    </row>
    <row r="889" spans="1:16" ht="18.75">
      <c r="B889" s="598"/>
      <c r="C889" s="597" t="s">
        <v>292</v>
      </c>
      <c r="D889" s="566"/>
      <c r="E889" s="543"/>
      <c r="F889" s="543"/>
      <c r="G889" s="543"/>
      <c r="H889" s="1257"/>
      <c r="I889" s="1257"/>
      <c r="J889" s="1258"/>
      <c r="K889" s="1257"/>
      <c r="L889" s="1257"/>
      <c r="M889" s="1257"/>
      <c r="N889" s="1257"/>
      <c r="O889" s="543"/>
    </row>
    <row r="890" spans="1:16" ht="15.75" thickBot="1">
      <c r="B890" s="334"/>
      <c r="C890" s="400"/>
      <c r="D890" s="566"/>
      <c r="E890" s="543"/>
      <c r="F890" s="543"/>
      <c r="G890" s="543"/>
      <c r="H890" s="1257"/>
      <c r="I890" s="1257"/>
      <c r="J890" s="1258"/>
      <c r="K890" s="1257"/>
      <c r="L890" s="1257"/>
      <c r="M890" s="1257"/>
      <c r="N890" s="1257"/>
      <c r="O890" s="543"/>
    </row>
    <row r="891" spans="1:16" ht="15.75">
      <c r="B891" s="334"/>
      <c r="C891" s="599" t="s">
        <v>293</v>
      </c>
      <c r="D891" s="566"/>
      <c r="E891" s="543"/>
      <c r="F891" s="543"/>
      <c r="G891" s="1259"/>
      <c r="H891" s="543" t="s">
        <v>272</v>
      </c>
      <c r="I891" s="543"/>
      <c r="J891" s="591"/>
      <c r="K891" s="681" t="s">
        <v>297</v>
      </c>
      <c r="L891" s="682"/>
      <c r="M891" s="683"/>
      <c r="N891" s="1260">
        <f>VLOOKUP(I897,C904:O963,5)</f>
        <v>5847132.7992848307</v>
      </c>
      <c r="O891" s="543"/>
    </row>
    <row r="892" spans="1:16" ht="15.75">
      <c r="B892" s="334"/>
      <c r="C892" s="599"/>
      <c r="D892" s="566"/>
      <c r="E892" s="543"/>
      <c r="F892" s="543"/>
      <c r="G892" s="543"/>
      <c r="H892" s="1261"/>
      <c r="I892" s="1261"/>
      <c r="J892" s="1262"/>
      <c r="K892" s="686" t="s">
        <v>298</v>
      </c>
      <c r="L892" s="1263"/>
      <c r="M892" s="591"/>
      <c r="N892" s="1264">
        <f>VLOOKUP(I897,C904:O963,6)</f>
        <v>5847132.7992848307</v>
      </c>
      <c r="O892" s="543"/>
    </row>
    <row r="893" spans="1:16" ht="13.5" thickBot="1">
      <c r="B893" s="334"/>
      <c r="C893" s="687" t="s">
        <v>294</v>
      </c>
      <c r="D893" s="1434" t="s">
        <v>1004</v>
      </c>
      <c r="E893" s="1434"/>
      <c r="F893" s="1434"/>
      <c r="G893" s="1434"/>
      <c r="H893" s="1434"/>
      <c r="I893" s="1257"/>
      <c r="J893" s="1258"/>
      <c r="K893" s="1265" t="s">
        <v>451</v>
      </c>
      <c r="L893" s="1266"/>
      <c r="M893" s="1266"/>
      <c r="N893" s="1267">
        <f>+N892-N891</f>
        <v>0</v>
      </c>
      <c r="O893" s="543"/>
    </row>
    <row r="894" spans="1:16">
      <c r="B894" s="334"/>
      <c r="C894" s="689"/>
      <c r="D894" s="690"/>
      <c r="E894" s="674"/>
      <c r="F894" s="674"/>
      <c r="G894" s="691"/>
      <c r="H894" s="1257"/>
      <c r="I894" s="1257"/>
      <c r="J894" s="1258"/>
      <c r="K894" s="1257"/>
      <c r="L894" s="1257"/>
      <c r="M894" s="1257"/>
      <c r="N894" s="1257"/>
      <c r="O894" s="543"/>
    </row>
    <row r="895" spans="1:16" ht="13.5" thickBot="1">
      <c r="B895" s="334"/>
      <c r="C895" s="692"/>
      <c r="D895" s="693"/>
      <c r="E895" s="691"/>
      <c r="F895" s="691"/>
      <c r="G895" s="691"/>
      <c r="H895" s="691"/>
      <c r="I895" s="691"/>
      <c r="J895" s="694"/>
      <c r="K895" s="691"/>
      <c r="L895" s="691"/>
      <c r="M895" s="691"/>
      <c r="N895" s="691"/>
      <c r="O895" s="579"/>
    </row>
    <row r="896" spans="1:16" ht="13.5" thickBot="1">
      <c r="B896" s="334"/>
      <c r="C896" s="696" t="s">
        <v>295</v>
      </c>
      <c r="D896" s="697"/>
      <c r="E896" s="697"/>
      <c r="F896" s="697"/>
      <c r="G896" s="697"/>
      <c r="H896" s="697"/>
      <c r="I896" s="698"/>
      <c r="J896" s="699"/>
      <c r="K896" s="543"/>
      <c r="L896" s="543"/>
      <c r="M896" s="543"/>
      <c r="N896" s="543"/>
      <c r="O896" s="700"/>
    </row>
    <row r="897" spans="1:15" ht="15">
      <c r="C897" s="702" t="s">
        <v>273</v>
      </c>
      <c r="D897" s="1268">
        <v>48244590</v>
      </c>
      <c r="E897" s="658" t="s">
        <v>274</v>
      </c>
      <c r="G897" s="703"/>
      <c r="H897" s="703"/>
      <c r="I897" s="704">
        <v>2018</v>
      </c>
      <c r="J897" s="589"/>
      <c r="K897" s="1435" t="s">
        <v>460</v>
      </c>
      <c r="L897" s="1435"/>
      <c r="M897" s="1435"/>
      <c r="N897" s="1435"/>
      <c r="O897" s="1435"/>
    </row>
    <row r="898" spans="1:15">
      <c r="C898" s="702" t="s">
        <v>276</v>
      </c>
      <c r="D898" s="876">
        <v>2016</v>
      </c>
      <c r="E898" s="702" t="s">
        <v>277</v>
      </c>
      <c r="F898" s="703"/>
      <c r="H898" s="334"/>
      <c r="I898" s="879">
        <f>IF(G891="",0,$F$15)</f>
        <v>0</v>
      </c>
      <c r="J898" s="705"/>
      <c r="K898" s="1258" t="s">
        <v>460</v>
      </c>
    </row>
    <row r="899" spans="1:15">
      <c r="C899" s="702" t="s">
        <v>278</v>
      </c>
      <c r="D899" s="1269">
        <v>6</v>
      </c>
      <c r="E899" s="702" t="s">
        <v>279</v>
      </c>
      <c r="F899" s="703"/>
      <c r="H899" s="334"/>
      <c r="I899" s="706">
        <f>$G$70</f>
        <v>0.10790637951024619</v>
      </c>
      <c r="J899" s="707"/>
      <c r="K899" s="334" t="str">
        <f>"          INPUT PROJECTED ARR (WITH &amp; WITHOUT INCENTIVES) FROM EACH PRIOR YEAR"</f>
        <v xml:space="preserve">          INPUT PROJECTED ARR (WITH &amp; WITHOUT INCENTIVES) FROM EACH PRIOR YEAR</v>
      </c>
    </row>
    <row r="900" spans="1:15">
      <c r="C900" s="702" t="s">
        <v>280</v>
      </c>
      <c r="D900" s="708">
        <f>G$79</f>
        <v>59</v>
      </c>
      <c r="E900" s="702" t="s">
        <v>281</v>
      </c>
      <c r="F900" s="703"/>
      <c r="H900" s="334"/>
      <c r="I900" s="706">
        <f>IF(G891="",I899,$G$67)</f>
        <v>0.10790637951024619</v>
      </c>
      <c r="J900" s="709"/>
      <c r="K900" s="334" t="s">
        <v>358</v>
      </c>
    </row>
    <row r="901" spans="1:15" ht="13.5" thickBot="1">
      <c r="C901" s="702" t="s">
        <v>282</v>
      </c>
      <c r="D901" s="878" t="s">
        <v>995</v>
      </c>
      <c r="E901" s="710" t="s">
        <v>283</v>
      </c>
      <c r="F901" s="711"/>
      <c r="G901" s="712"/>
      <c r="H901" s="712"/>
      <c r="I901" s="1267">
        <f>IF(D897=0,0,D897/D900)</f>
        <v>817704.91525423725</v>
      </c>
      <c r="J901" s="1258"/>
      <c r="K901" s="1258" t="s">
        <v>364</v>
      </c>
      <c r="L901" s="1258"/>
      <c r="M901" s="1258"/>
      <c r="N901" s="1258"/>
      <c r="O901" s="591"/>
    </row>
    <row r="902" spans="1:15" ht="51">
      <c r="A902" s="530"/>
      <c r="B902" s="530"/>
      <c r="C902" s="713" t="s">
        <v>273</v>
      </c>
      <c r="D902" s="1270" t="s">
        <v>284</v>
      </c>
      <c r="E902" s="1271" t="s">
        <v>285</v>
      </c>
      <c r="F902" s="1270" t="s">
        <v>286</v>
      </c>
      <c r="G902" s="1271" t="s">
        <v>357</v>
      </c>
      <c r="H902" s="1272" t="s">
        <v>357</v>
      </c>
      <c r="I902" s="713" t="s">
        <v>296</v>
      </c>
      <c r="J902" s="717"/>
      <c r="K902" s="1271" t="s">
        <v>366</v>
      </c>
      <c r="L902" s="1273"/>
      <c r="M902" s="1271" t="s">
        <v>366</v>
      </c>
      <c r="N902" s="1273"/>
      <c r="O902" s="1273"/>
    </row>
    <row r="903" spans="1:15" ht="13.5" thickBot="1">
      <c r="B903" s="334"/>
      <c r="C903" s="719" t="s">
        <v>178</v>
      </c>
      <c r="D903" s="720" t="s">
        <v>179</v>
      </c>
      <c r="E903" s="719" t="s">
        <v>37</v>
      </c>
      <c r="F903" s="720" t="s">
        <v>179</v>
      </c>
      <c r="G903" s="1274" t="s">
        <v>299</v>
      </c>
      <c r="H903" s="1275" t="s">
        <v>301</v>
      </c>
      <c r="I903" s="723" t="s">
        <v>390</v>
      </c>
      <c r="J903" s="724"/>
      <c r="K903" s="1274" t="s">
        <v>288</v>
      </c>
      <c r="L903" s="1276"/>
      <c r="M903" s="1274" t="s">
        <v>301</v>
      </c>
      <c r="N903" s="1276"/>
      <c r="O903" s="1276"/>
    </row>
    <row r="904" spans="1:15">
      <c r="B904" s="334"/>
      <c r="C904" s="725">
        <f>IF(D898= "","-",D898)</f>
        <v>2016</v>
      </c>
      <c r="D904" s="676">
        <f>+D897</f>
        <v>48244590</v>
      </c>
      <c r="E904" s="1277">
        <f>+I901/12*(12-D899)</f>
        <v>408852.45762711862</v>
      </c>
      <c r="F904" s="676">
        <f t="shared" ref="F904:F963" si="54">+D904-E904</f>
        <v>47835737.542372882</v>
      </c>
      <c r="G904" s="1278">
        <f>+$I$899*((D904+F904)/2)+E904</f>
        <v>5592692.6012551421</v>
      </c>
      <c r="H904" s="1279">
        <f>+$I$900*((D904+F904)/2)+E904</f>
        <v>5592692.6012551421</v>
      </c>
      <c r="I904" s="729">
        <f t="shared" ref="I904:I963" si="55">+H904-G904</f>
        <v>0</v>
      </c>
      <c r="J904" s="729"/>
      <c r="K904" s="880">
        <v>5862811</v>
      </c>
      <c r="L904" s="731"/>
      <c r="M904" s="880">
        <v>5862811</v>
      </c>
      <c r="N904" s="731"/>
      <c r="O904" s="731"/>
    </row>
    <row r="905" spans="1:15">
      <c r="B905" s="334"/>
      <c r="C905" s="725">
        <f>IF(D898="","-",+C904+1)</f>
        <v>2017</v>
      </c>
      <c r="D905" s="676">
        <f t="shared" ref="D905:D963" si="56">F904</f>
        <v>47835737.542372882</v>
      </c>
      <c r="E905" s="732">
        <f>IF(D905&gt;$I$901,$I$901,D905)</f>
        <v>817704.91525423725</v>
      </c>
      <c r="F905" s="676">
        <f t="shared" si="54"/>
        <v>47018032.627118647</v>
      </c>
      <c r="G905" s="1277">
        <f t="shared" ref="G905:G963" si="57">+$I$899*((D905+F905)/2)+E905</f>
        <v>5935368.3761976482</v>
      </c>
      <c r="H905" s="1280">
        <f t="shared" ref="H905:H963" si="58">+$I$900*((D905+F905)/2)+E905</f>
        <v>5935368.3761976482</v>
      </c>
      <c r="I905" s="729">
        <f t="shared" si="55"/>
        <v>0</v>
      </c>
      <c r="J905" s="729"/>
      <c r="K905" s="881">
        <v>3438786</v>
      </c>
      <c r="L905" s="735"/>
      <c r="M905" s="881">
        <v>3438786</v>
      </c>
      <c r="N905" s="735"/>
      <c r="O905" s="735"/>
    </row>
    <row r="906" spans="1:15">
      <c r="B906" s="334"/>
      <c r="C906" s="1281">
        <f>IF(D898="","-",+C905+1)</f>
        <v>2018</v>
      </c>
      <c r="D906" s="1282">
        <f t="shared" si="56"/>
        <v>47018032.627118647</v>
      </c>
      <c r="E906" s="1283">
        <f t="shared" ref="E906:E963" si="59">IF(D906&gt;$I$901,$I$901,D906)</f>
        <v>817704.91525423725</v>
      </c>
      <c r="F906" s="1282">
        <f t="shared" si="54"/>
        <v>46200327.711864412</v>
      </c>
      <c r="G906" s="1284">
        <f t="shared" si="57"/>
        <v>5847132.7992848307</v>
      </c>
      <c r="H906" s="1285">
        <f t="shared" si="58"/>
        <v>5847132.7992848307</v>
      </c>
      <c r="I906" s="1291">
        <f t="shared" si="55"/>
        <v>0</v>
      </c>
      <c r="J906" s="1304"/>
      <c r="K906" s="1302"/>
      <c r="L906" s="1290"/>
      <c r="M906" s="1302"/>
      <c r="N906" s="735"/>
      <c r="O906" s="735"/>
    </row>
    <row r="907" spans="1:15">
      <c r="B907" s="334"/>
      <c r="C907" s="725">
        <f>IF(D898="","-",+C906+1)</f>
        <v>2019</v>
      </c>
      <c r="D907" s="676">
        <f t="shared" si="56"/>
        <v>46200327.711864412</v>
      </c>
      <c r="E907" s="732">
        <f t="shared" si="59"/>
        <v>817704.91525423725</v>
      </c>
      <c r="F907" s="676">
        <f t="shared" si="54"/>
        <v>45382622.796610177</v>
      </c>
      <c r="G907" s="1277">
        <f t="shared" si="57"/>
        <v>5758897.2223720141</v>
      </c>
      <c r="H907" s="1280">
        <f t="shared" si="58"/>
        <v>5758897.2223720141</v>
      </c>
      <c r="I907" s="729">
        <f t="shared" si="55"/>
        <v>0</v>
      </c>
      <c r="J907" s="729"/>
      <c r="K907" s="881"/>
      <c r="L907" s="735"/>
      <c r="M907" s="881"/>
      <c r="N907" s="735"/>
      <c r="O907" s="735"/>
    </row>
    <row r="908" spans="1:15">
      <c r="B908" s="334"/>
      <c r="C908" s="725">
        <f>IF(D898="","-",+C907+1)</f>
        <v>2020</v>
      </c>
      <c r="D908" s="676">
        <f t="shared" si="56"/>
        <v>45382622.796610177</v>
      </c>
      <c r="E908" s="732">
        <f t="shared" si="59"/>
        <v>817704.91525423725</v>
      </c>
      <c r="F908" s="676">
        <f t="shared" si="54"/>
        <v>44564917.881355941</v>
      </c>
      <c r="G908" s="1277">
        <f t="shared" si="57"/>
        <v>5670661.6454591965</v>
      </c>
      <c r="H908" s="1280">
        <f t="shared" si="58"/>
        <v>5670661.6454591965</v>
      </c>
      <c r="I908" s="729">
        <f t="shared" si="55"/>
        <v>0</v>
      </c>
      <c r="J908" s="729"/>
      <c r="K908" s="881"/>
      <c r="L908" s="735"/>
      <c r="M908" s="881"/>
      <c r="N908" s="735"/>
      <c r="O908" s="735"/>
    </row>
    <row r="909" spans="1:15">
      <c r="B909" s="334"/>
      <c r="C909" s="725">
        <f>IF(D898="","-",+C908+1)</f>
        <v>2021</v>
      </c>
      <c r="D909" s="676">
        <f t="shared" si="56"/>
        <v>44564917.881355941</v>
      </c>
      <c r="E909" s="732">
        <f t="shared" si="59"/>
        <v>817704.91525423725</v>
      </c>
      <c r="F909" s="676">
        <f t="shared" si="54"/>
        <v>43747212.966101706</v>
      </c>
      <c r="G909" s="1277">
        <f t="shared" si="57"/>
        <v>5582426.068546379</v>
      </c>
      <c r="H909" s="1280">
        <f t="shared" si="58"/>
        <v>5582426.068546379</v>
      </c>
      <c r="I909" s="729">
        <f t="shared" si="55"/>
        <v>0</v>
      </c>
      <c r="J909" s="729"/>
      <c r="K909" s="881"/>
      <c r="L909" s="735"/>
      <c r="M909" s="881"/>
      <c r="N909" s="735"/>
      <c r="O909" s="735"/>
    </row>
    <row r="910" spans="1:15">
      <c r="B910" s="334"/>
      <c r="C910" s="725">
        <f>IF(D898="","-",+C909+1)</f>
        <v>2022</v>
      </c>
      <c r="D910" s="676">
        <f t="shared" si="56"/>
        <v>43747212.966101706</v>
      </c>
      <c r="E910" s="732">
        <f t="shared" si="59"/>
        <v>817704.91525423725</v>
      </c>
      <c r="F910" s="676">
        <f t="shared" si="54"/>
        <v>42929508.050847471</v>
      </c>
      <c r="G910" s="1277">
        <f t="shared" si="57"/>
        <v>5494190.4916335624</v>
      </c>
      <c r="H910" s="1280">
        <f t="shared" si="58"/>
        <v>5494190.4916335624</v>
      </c>
      <c r="I910" s="729">
        <f t="shared" si="55"/>
        <v>0</v>
      </c>
      <c r="J910" s="729"/>
      <c r="K910" s="881"/>
      <c r="L910" s="735"/>
      <c r="M910" s="881"/>
      <c r="N910" s="735"/>
      <c r="O910" s="735"/>
    </row>
    <row r="911" spans="1:15">
      <c r="B911" s="334"/>
      <c r="C911" s="725">
        <f>IF(D898="","-",+C910+1)</f>
        <v>2023</v>
      </c>
      <c r="D911" s="676">
        <f t="shared" si="56"/>
        <v>42929508.050847471</v>
      </c>
      <c r="E911" s="732">
        <f t="shared" si="59"/>
        <v>817704.91525423725</v>
      </c>
      <c r="F911" s="676">
        <f t="shared" si="54"/>
        <v>42111803.135593235</v>
      </c>
      <c r="G911" s="1277">
        <f t="shared" si="57"/>
        <v>5405954.9147207448</v>
      </c>
      <c r="H911" s="1280">
        <f t="shared" si="58"/>
        <v>5405954.9147207448</v>
      </c>
      <c r="I911" s="729">
        <f t="shared" si="55"/>
        <v>0</v>
      </c>
      <c r="J911" s="729"/>
      <c r="K911" s="881"/>
      <c r="L911" s="735"/>
      <c r="M911" s="881"/>
      <c r="N911" s="735"/>
      <c r="O911" s="735"/>
    </row>
    <row r="912" spans="1:15">
      <c r="B912" s="334"/>
      <c r="C912" s="725">
        <f>IF(D898="","-",+C911+1)</f>
        <v>2024</v>
      </c>
      <c r="D912" s="676">
        <f t="shared" si="56"/>
        <v>42111803.135593235</v>
      </c>
      <c r="E912" s="732">
        <f t="shared" si="59"/>
        <v>817704.91525423725</v>
      </c>
      <c r="F912" s="676">
        <f t="shared" si="54"/>
        <v>41294098.220339</v>
      </c>
      <c r="G912" s="1277">
        <f t="shared" si="57"/>
        <v>5317719.3378079273</v>
      </c>
      <c r="H912" s="1280">
        <f t="shared" si="58"/>
        <v>5317719.3378079273</v>
      </c>
      <c r="I912" s="729">
        <f t="shared" si="55"/>
        <v>0</v>
      </c>
      <c r="J912" s="729"/>
      <c r="K912" s="881"/>
      <c r="L912" s="735"/>
      <c r="M912" s="881"/>
      <c r="N912" s="735"/>
      <c r="O912" s="735"/>
    </row>
    <row r="913" spans="2:15">
      <c r="B913" s="334"/>
      <c r="C913" s="725">
        <f>IF(D898="","-",+C912+1)</f>
        <v>2025</v>
      </c>
      <c r="D913" s="676">
        <f t="shared" si="56"/>
        <v>41294098.220339</v>
      </c>
      <c r="E913" s="732">
        <f t="shared" si="59"/>
        <v>817704.91525423725</v>
      </c>
      <c r="F913" s="676">
        <f t="shared" si="54"/>
        <v>40476393.305084765</v>
      </c>
      <c r="G913" s="1277">
        <f t="shared" si="57"/>
        <v>5229483.7608951107</v>
      </c>
      <c r="H913" s="1280">
        <f t="shared" si="58"/>
        <v>5229483.7608951107</v>
      </c>
      <c r="I913" s="729">
        <f t="shared" si="55"/>
        <v>0</v>
      </c>
      <c r="J913" s="729"/>
      <c r="K913" s="881"/>
      <c r="L913" s="735"/>
      <c r="M913" s="881"/>
      <c r="N913" s="735"/>
      <c r="O913" s="735"/>
    </row>
    <row r="914" spans="2:15">
      <c r="B914" s="334"/>
      <c r="C914" s="725">
        <f>IF(D898="","-",+C913+1)</f>
        <v>2026</v>
      </c>
      <c r="D914" s="676">
        <f t="shared" si="56"/>
        <v>40476393.305084765</v>
      </c>
      <c r="E914" s="732">
        <f t="shared" si="59"/>
        <v>817704.91525423725</v>
      </c>
      <c r="F914" s="676">
        <f t="shared" si="54"/>
        <v>39658688.38983053</v>
      </c>
      <c r="G914" s="1277">
        <f t="shared" si="57"/>
        <v>5141248.1839822931</v>
      </c>
      <c r="H914" s="1280">
        <f t="shared" si="58"/>
        <v>5141248.1839822931</v>
      </c>
      <c r="I914" s="729">
        <f t="shared" si="55"/>
        <v>0</v>
      </c>
      <c r="J914" s="729"/>
      <c r="K914" s="881"/>
      <c r="L914" s="735"/>
      <c r="M914" s="881"/>
      <c r="N914" s="735"/>
      <c r="O914" s="735"/>
    </row>
    <row r="915" spans="2:15">
      <c r="B915" s="334"/>
      <c r="C915" s="725">
        <f>IF(D898="","-",+C914+1)</f>
        <v>2027</v>
      </c>
      <c r="D915" s="676">
        <f t="shared" si="56"/>
        <v>39658688.38983053</v>
      </c>
      <c r="E915" s="732">
        <f t="shared" si="59"/>
        <v>817704.91525423725</v>
      </c>
      <c r="F915" s="676">
        <f t="shared" si="54"/>
        <v>38840983.474576294</v>
      </c>
      <c r="G915" s="1277">
        <f t="shared" si="57"/>
        <v>5053012.6070694756</v>
      </c>
      <c r="H915" s="1280">
        <f t="shared" si="58"/>
        <v>5053012.6070694756</v>
      </c>
      <c r="I915" s="729">
        <f t="shared" si="55"/>
        <v>0</v>
      </c>
      <c r="J915" s="729"/>
      <c r="K915" s="881"/>
      <c r="L915" s="735"/>
      <c r="M915" s="881"/>
      <c r="N915" s="735"/>
      <c r="O915" s="735"/>
    </row>
    <row r="916" spans="2:15">
      <c r="B916" s="334"/>
      <c r="C916" s="725">
        <f>IF(D898="","-",+C915+1)</f>
        <v>2028</v>
      </c>
      <c r="D916" s="676">
        <f t="shared" si="56"/>
        <v>38840983.474576294</v>
      </c>
      <c r="E916" s="732">
        <f t="shared" si="59"/>
        <v>817704.91525423725</v>
      </c>
      <c r="F916" s="676">
        <f t="shared" si="54"/>
        <v>38023278.559322059</v>
      </c>
      <c r="G916" s="1277">
        <f t="shared" si="57"/>
        <v>4964777.030156659</v>
      </c>
      <c r="H916" s="1280">
        <f t="shared" si="58"/>
        <v>4964777.030156659</v>
      </c>
      <c r="I916" s="729">
        <f t="shared" si="55"/>
        <v>0</v>
      </c>
      <c r="J916" s="729"/>
      <c r="K916" s="881"/>
      <c r="L916" s="735"/>
      <c r="M916" s="881"/>
      <c r="N916" s="736"/>
      <c r="O916" s="735"/>
    </row>
    <row r="917" spans="2:15">
      <c r="B917" s="334"/>
      <c r="C917" s="725">
        <f>IF(D898="","-",+C916+1)</f>
        <v>2029</v>
      </c>
      <c r="D917" s="676">
        <f t="shared" si="56"/>
        <v>38023278.559322059</v>
      </c>
      <c r="E917" s="732">
        <f t="shared" si="59"/>
        <v>817704.91525423725</v>
      </c>
      <c r="F917" s="676">
        <f t="shared" si="54"/>
        <v>37205573.644067824</v>
      </c>
      <c r="G917" s="1277">
        <f t="shared" si="57"/>
        <v>4876541.4532438414</v>
      </c>
      <c r="H917" s="1280">
        <f t="shared" si="58"/>
        <v>4876541.4532438414</v>
      </c>
      <c r="I917" s="729">
        <f t="shared" si="55"/>
        <v>0</v>
      </c>
      <c r="J917" s="729"/>
      <c r="K917" s="881"/>
      <c r="L917" s="735"/>
      <c r="M917" s="881"/>
      <c r="N917" s="735"/>
      <c r="O917" s="735"/>
    </row>
    <row r="918" spans="2:15">
      <c r="B918" s="334"/>
      <c r="C918" s="725">
        <f>IF(D898="","-",+C917+1)</f>
        <v>2030</v>
      </c>
      <c r="D918" s="676">
        <f t="shared" si="56"/>
        <v>37205573.644067824</v>
      </c>
      <c r="E918" s="732">
        <f t="shared" si="59"/>
        <v>817704.91525423725</v>
      </c>
      <c r="F918" s="676">
        <f t="shared" si="54"/>
        <v>36387868.728813589</v>
      </c>
      <c r="G918" s="1277">
        <f t="shared" si="57"/>
        <v>4788305.8763310248</v>
      </c>
      <c r="H918" s="1280">
        <f t="shared" si="58"/>
        <v>4788305.8763310248</v>
      </c>
      <c r="I918" s="729">
        <f t="shared" si="55"/>
        <v>0</v>
      </c>
      <c r="J918" s="729"/>
      <c r="K918" s="881"/>
      <c r="L918" s="735"/>
      <c r="M918" s="881"/>
      <c r="N918" s="735"/>
      <c r="O918" s="735"/>
    </row>
    <row r="919" spans="2:15">
      <c r="B919" s="334"/>
      <c r="C919" s="725">
        <f>IF(D898="","-",+C918+1)</f>
        <v>2031</v>
      </c>
      <c r="D919" s="676">
        <f t="shared" si="56"/>
        <v>36387868.728813589</v>
      </c>
      <c r="E919" s="732">
        <f t="shared" si="59"/>
        <v>817704.91525423725</v>
      </c>
      <c r="F919" s="676">
        <f t="shared" si="54"/>
        <v>35570163.813559353</v>
      </c>
      <c r="G919" s="1277">
        <f t="shared" si="57"/>
        <v>4700070.2994182073</v>
      </c>
      <c r="H919" s="1280">
        <f t="shared" si="58"/>
        <v>4700070.2994182073</v>
      </c>
      <c r="I919" s="729">
        <f t="shared" si="55"/>
        <v>0</v>
      </c>
      <c r="J919" s="729"/>
      <c r="K919" s="881"/>
      <c r="L919" s="735"/>
      <c r="M919" s="881"/>
      <c r="N919" s="735"/>
      <c r="O919" s="735"/>
    </row>
    <row r="920" spans="2:15">
      <c r="B920" s="334"/>
      <c r="C920" s="725">
        <f>IF(D898="","-",+C919+1)</f>
        <v>2032</v>
      </c>
      <c r="D920" s="676">
        <f t="shared" si="56"/>
        <v>35570163.813559353</v>
      </c>
      <c r="E920" s="732">
        <f t="shared" si="59"/>
        <v>817704.91525423725</v>
      </c>
      <c r="F920" s="676">
        <f t="shared" si="54"/>
        <v>34752458.898305118</v>
      </c>
      <c r="G920" s="1277">
        <f t="shared" si="57"/>
        <v>4611834.7225053906</v>
      </c>
      <c r="H920" s="1280">
        <f t="shared" si="58"/>
        <v>4611834.7225053906</v>
      </c>
      <c r="I920" s="729">
        <f t="shared" si="55"/>
        <v>0</v>
      </c>
      <c r="J920" s="729"/>
      <c r="K920" s="881"/>
      <c r="L920" s="735"/>
      <c r="M920" s="881"/>
      <c r="N920" s="735"/>
      <c r="O920" s="735"/>
    </row>
    <row r="921" spans="2:15">
      <c r="B921" s="334"/>
      <c r="C921" s="725">
        <f>IF(D898="","-",+C920+1)</f>
        <v>2033</v>
      </c>
      <c r="D921" s="676">
        <f t="shared" si="56"/>
        <v>34752458.898305118</v>
      </c>
      <c r="E921" s="732">
        <f t="shared" si="59"/>
        <v>817704.91525423725</v>
      </c>
      <c r="F921" s="676">
        <f t="shared" si="54"/>
        <v>33934753.983050883</v>
      </c>
      <c r="G921" s="1277">
        <f t="shared" si="57"/>
        <v>4523599.1455925731</v>
      </c>
      <c r="H921" s="1280">
        <f t="shared" si="58"/>
        <v>4523599.1455925731</v>
      </c>
      <c r="I921" s="729">
        <f t="shared" si="55"/>
        <v>0</v>
      </c>
      <c r="J921" s="729"/>
      <c r="K921" s="881"/>
      <c r="L921" s="735"/>
      <c r="M921" s="881"/>
      <c r="N921" s="735"/>
      <c r="O921" s="735"/>
    </row>
    <row r="922" spans="2:15">
      <c r="B922" s="334"/>
      <c r="C922" s="725">
        <f>IF(D898="","-",+C921+1)</f>
        <v>2034</v>
      </c>
      <c r="D922" s="676">
        <f t="shared" si="56"/>
        <v>33934753.983050883</v>
      </c>
      <c r="E922" s="732">
        <f t="shared" si="59"/>
        <v>817704.91525423725</v>
      </c>
      <c r="F922" s="676">
        <f t="shared" si="54"/>
        <v>33117049.067796644</v>
      </c>
      <c r="G922" s="1277">
        <f t="shared" si="57"/>
        <v>4435363.5686797556</v>
      </c>
      <c r="H922" s="1280">
        <f t="shared" si="58"/>
        <v>4435363.5686797556</v>
      </c>
      <c r="I922" s="729">
        <f t="shared" si="55"/>
        <v>0</v>
      </c>
      <c r="J922" s="729"/>
      <c r="K922" s="881"/>
      <c r="L922" s="735"/>
      <c r="M922" s="881"/>
      <c r="N922" s="735"/>
      <c r="O922" s="735"/>
    </row>
    <row r="923" spans="2:15">
      <c r="B923" s="334"/>
      <c r="C923" s="725">
        <f>IF(D898="","-",+C922+1)</f>
        <v>2035</v>
      </c>
      <c r="D923" s="676">
        <f t="shared" si="56"/>
        <v>33117049.067796644</v>
      </c>
      <c r="E923" s="732">
        <f t="shared" si="59"/>
        <v>817704.91525423725</v>
      </c>
      <c r="F923" s="676">
        <f t="shared" si="54"/>
        <v>32299344.152542405</v>
      </c>
      <c r="G923" s="1277">
        <f t="shared" si="57"/>
        <v>4347127.991766938</v>
      </c>
      <c r="H923" s="1280">
        <f t="shared" si="58"/>
        <v>4347127.991766938</v>
      </c>
      <c r="I923" s="729">
        <f t="shared" si="55"/>
        <v>0</v>
      </c>
      <c r="J923" s="729"/>
      <c r="K923" s="881"/>
      <c r="L923" s="735"/>
      <c r="M923" s="881"/>
      <c r="N923" s="735"/>
      <c r="O923" s="735"/>
    </row>
    <row r="924" spans="2:15">
      <c r="B924" s="334"/>
      <c r="C924" s="725">
        <f>IF(D898="","-",+C923+1)</f>
        <v>2036</v>
      </c>
      <c r="D924" s="676">
        <f t="shared" si="56"/>
        <v>32299344.152542405</v>
      </c>
      <c r="E924" s="732">
        <f t="shared" si="59"/>
        <v>817704.91525423725</v>
      </c>
      <c r="F924" s="676">
        <f t="shared" si="54"/>
        <v>31481639.237288166</v>
      </c>
      <c r="G924" s="1277">
        <f t="shared" si="57"/>
        <v>4258892.4148541205</v>
      </c>
      <c r="H924" s="1280">
        <f t="shared" si="58"/>
        <v>4258892.4148541205</v>
      </c>
      <c r="I924" s="729">
        <f t="shared" si="55"/>
        <v>0</v>
      </c>
      <c r="J924" s="729"/>
      <c r="K924" s="881"/>
      <c r="L924" s="735"/>
      <c r="M924" s="881"/>
      <c r="N924" s="735"/>
      <c r="O924" s="735"/>
    </row>
    <row r="925" spans="2:15">
      <c r="B925" s="334"/>
      <c r="C925" s="725">
        <f>IF(D898="","-",+C924+1)</f>
        <v>2037</v>
      </c>
      <c r="D925" s="676">
        <f t="shared" si="56"/>
        <v>31481639.237288166</v>
      </c>
      <c r="E925" s="732">
        <f t="shared" si="59"/>
        <v>817704.91525423725</v>
      </c>
      <c r="F925" s="676">
        <f t="shared" si="54"/>
        <v>30663934.322033927</v>
      </c>
      <c r="G925" s="1277">
        <f t="shared" si="57"/>
        <v>4170656.8379413025</v>
      </c>
      <c r="H925" s="1280">
        <f t="shared" si="58"/>
        <v>4170656.8379413025</v>
      </c>
      <c r="I925" s="729">
        <f t="shared" si="55"/>
        <v>0</v>
      </c>
      <c r="J925" s="729"/>
      <c r="K925" s="881"/>
      <c r="L925" s="735"/>
      <c r="M925" s="881"/>
      <c r="N925" s="735"/>
      <c r="O925" s="735"/>
    </row>
    <row r="926" spans="2:15">
      <c r="B926" s="334"/>
      <c r="C926" s="725">
        <f>IF(D898="","-",+C925+1)</f>
        <v>2038</v>
      </c>
      <c r="D926" s="676">
        <f t="shared" si="56"/>
        <v>30663934.322033927</v>
      </c>
      <c r="E926" s="732">
        <f t="shared" si="59"/>
        <v>817704.91525423725</v>
      </c>
      <c r="F926" s="676">
        <f t="shared" si="54"/>
        <v>29846229.406779688</v>
      </c>
      <c r="G926" s="1277">
        <f t="shared" si="57"/>
        <v>4082421.2610284849</v>
      </c>
      <c r="H926" s="1280">
        <f t="shared" si="58"/>
        <v>4082421.2610284849</v>
      </c>
      <c r="I926" s="729">
        <f t="shared" si="55"/>
        <v>0</v>
      </c>
      <c r="J926" s="729"/>
      <c r="K926" s="881"/>
      <c r="L926" s="735"/>
      <c r="M926" s="881"/>
      <c r="N926" s="735"/>
      <c r="O926" s="735"/>
    </row>
    <row r="927" spans="2:15">
      <c r="B927" s="334"/>
      <c r="C927" s="725">
        <f>IF(D898="","-",+C926+1)</f>
        <v>2039</v>
      </c>
      <c r="D927" s="676">
        <f t="shared" si="56"/>
        <v>29846229.406779688</v>
      </c>
      <c r="E927" s="732">
        <f t="shared" si="59"/>
        <v>817704.91525423725</v>
      </c>
      <c r="F927" s="676">
        <f t="shared" si="54"/>
        <v>29028524.491525449</v>
      </c>
      <c r="G927" s="1277">
        <f t="shared" si="57"/>
        <v>3994185.6841156669</v>
      </c>
      <c r="H927" s="1280">
        <f t="shared" si="58"/>
        <v>3994185.6841156669</v>
      </c>
      <c r="I927" s="729">
        <f t="shared" si="55"/>
        <v>0</v>
      </c>
      <c r="J927" s="729"/>
      <c r="K927" s="881"/>
      <c r="L927" s="735"/>
      <c r="M927" s="881"/>
      <c r="N927" s="735"/>
      <c r="O927" s="735"/>
    </row>
    <row r="928" spans="2:15">
      <c r="B928" s="334"/>
      <c r="C928" s="725">
        <f>IF(D898="","-",+C927+1)</f>
        <v>2040</v>
      </c>
      <c r="D928" s="676">
        <f t="shared" si="56"/>
        <v>29028524.491525449</v>
      </c>
      <c r="E928" s="732">
        <f t="shared" si="59"/>
        <v>817704.91525423725</v>
      </c>
      <c r="F928" s="676">
        <f t="shared" si="54"/>
        <v>28210819.57627121</v>
      </c>
      <c r="G928" s="1277">
        <f t="shared" si="57"/>
        <v>3905950.1072028498</v>
      </c>
      <c r="H928" s="1280">
        <f t="shared" si="58"/>
        <v>3905950.1072028498</v>
      </c>
      <c r="I928" s="729">
        <f t="shared" si="55"/>
        <v>0</v>
      </c>
      <c r="J928" s="729"/>
      <c r="K928" s="881"/>
      <c r="L928" s="735"/>
      <c r="M928" s="881"/>
      <c r="N928" s="735"/>
      <c r="O928" s="735"/>
    </row>
    <row r="929" spans="2:15">
      <c r="B929" s="334"/>
      <c r="C929" s="725">
        <f>IF(D898="","-",+C928+1)</f>
        <v>2041</v>
      </c>
      <c r="D929" s="676">
        <f t="shared" si="56"/>
        <v>28210819.57627121</v>
      </c>
      <c r="E929" s="732">
        <f t="shared" si="59"/>
        <v>817704.91525423725</v>
      </c>
      <c r="F929" s="676">
        <f t="shared" si="54"/>
        <v>27393114.661016971</v>
      </c>
      <c r="G929" s="1277">
        <f t="shared" si="57"/>
        <v>3817714.5302900318</v>
      </c>
      <c r="H929" s="1280">
        <f t="shared" si="58"/>
        <v>3817714.5302900318</v>
      </c>
      <c r="I929" s="729">
        <f t="shared" si="55"/>
        <v>0</v>
      </c>
      <c r="J929" s="729"/>
      <c r="K929" s="881"/>
      <c r="L929" s="735"/>
      <c r="M929" s="881"/>
      <c r="N929" s="735"/>
      <c r="O929" s="735"/>
    </row>
    <row r="930" spans="2:15">
      <c r="B930" s="334"/>
      <c r="C930" s="725">
        <f>IF(D898="","-",+C929+1)</f>
        <v>2042</v>
      </c>
      <c r="D930" s="676">
        <f t="shared" si="56"/>
        <v>27393114.661016971</v>
      </c>
      <c r="E930" s="732">
        <f t="shared" si="59"/>
        <v>817704.91525423725</v>
      </c>
      <c r="F930" s="676">
        <f t="shared" si="54"/>
        <v>26575409.745762732</v>
      </c>
      <c r="G930" s="1277">
        <f t="shared" si="57"/>
        <v>3729478.9533772147</v>
      </c>
      <c r="H930" s="1280">
        <f t="shared" si="58"/>
        <v>3729478.9533772147</v>
      </c>
      <c r="I930" s="729">
        <f t="shared" si="55"/>
        <v>0</v>
      </c>
      <c r="J930" s="729"/>
      <c r="K930" s="881"/>
      <c r="L930" s="735"/>
      <c r="M930" s="881"/>
      <c r="N930" s="735"/>
      <c r="O930" s="735"/>
    </row>
    <row r="931" spans="2:15">
      <c r="B931" s="334"/>
      <c r="C931" s="725">
        <f>IF(D898="","-",+C930+1)</f>
        <v>2043</v>
      </c>
      <c r="D931" s="676">
        <f t="shared" si="56"/>
        <v>26575409.745762732</v>
      </c>
      <c r="E931" s="732">
        <f t="shared" si="59"/>
        <v>817704.91525423725</v>
      </c>
      <c r="F931" s="676">
        <f t="shared" si="54"/>
        <v>25757704.830508493</v>
      </c>
      <c r="G931" s="1277">
        <f t="shared" si="57"/>
        <v>3641243.3764643967</v>
      </c>
      <c r="H931" s="1280">
        <f t="shared" si="58"/>
        <v>3641243.3764643967</v>
      </c>
      <c r="I931" s="729">
        <f t="shared" si="55"/>
        <v>0</v>
      </c>
      <c r="J931" s="729"/>
      <c r="K931" s="881"/>
      <c r="L931" s="735"/>
      <c r="M931" s="881"/>
      <c r="N931" s="735"/>
      <c r="O931" s="735"/>
    </row>
    <row r="932" spans="2:15">
      <c r="B932" s="334"/>
      <c r="C932" s="725">
        <f>IF(D898="","-",+C931+1)</f>
        <v>2044</v>
      </c>
      <c r="D932" s="676">
        <f t="shared" si="56"/>
        <v>25757704.830508493</v>
      </c>
      <c r="E932" s="732">
        <f t="shared" si="59"/>
        <v>817704.91525423725</v>
      </c>
      <c r="F932" s="676">
        <f t="shared" si="54"/>
        <v>24939999.915254254</v>
      </c>
      <c r="G932" s="1286">
        <f t="shared" si="57"/>
        <v>3553007.7995515796</v>
      </c>
      <c r="H932" s="1280">
        <f t="shared" si="58"/>
        <v>3553007.7995515796</v>
      </c>
      <c r="I932" s="729">
        <f t="shared" si="55"/>
        <v>0</v>
      </c>
      <c r="J932" s="729"/>
      <c r="K932" s="881"/>
      <c r="L932" s="735"/>
      <c r="M932" s="881"/>
      <c r="N932" s="735"/>
      <c r="O932" s="735"/>
    </row>
    <row r="933" spans="2:15">
      <c r="B933" s="334"/>
      <c r="C933" s="725">
        <f>IF(D898="","-",+C932+1)</f>
        <v>2045</v>
      </c>
      <c r="D933" s="676">
        <f t="shared" si="56"/>
        <v>24939999.915254254</v>
      </c>
      <c r="E933" s="732">
        <f t="shared" si="59"/>
        <v>817704.91525423725</v>
      </c>
      <c r="F933" s="676">
        <f t="shared" si="54"/>
        <v>24122295.000000015</v>
      </c>
      <c r="G933" s="1277">
        <f t="shared" si="57"/>
        <v>3464772.2226387616</v>
      </c>
      <c r="H933" s="1280">
        <f t="shared" si="58"/>
        <v>3464772.2226387616</v>
      </c>
      <c r="I933" s="729">
        <f t="shared" si="55"/>
        <v>0</v>
      </c>
      <c r="J933" s="729"/>
      <c r="K933" s="881"/>
      <c r="L933" s="735"/>
      <c r="M933" s="881"/>
      <c r="N933" s="735"/>
      <c r="O933" s="735"/>
    </row>
    <row r="934" spans="2:15">
      <c r="B934" s="334"/>
      <c r="C934" s="725">
        <f>IF(D898="","-",+C933+1)</f>
        <v>2046</v>
      </c>
      <c r="D934" s="676">
        <f t="shared" si="56"/>
        <v>24122295.000000015</v>
      </c>
      <c r="E934" s="732">
        <f t="shared" si="59"/>
        <v>817704.91525423725</v>
      </c>
      <c r="F934" s="676">
        <f t="shared" si="54"/>
        <v>23304590.084745776</v>
      </c>
      <c r="G934" s="1277">
        <f t="shared" si="57"/>
        <v>3376536.6457259441</v>
      </c>
      <c r="H934" s="1280">
        <f t="shared" si="58"/>
        <v>3376536.6457259441</v>
      </c>
      <c r="I934" s="729">
        <f t="shared" si="55"/>
        <v>0</v>
      </c>
      <c r="J934" s="729"/>
      <c r="K934" s="881"/>
      <c r="L934" s="735"/>
      <c r="M934" s="881"/>
      <c r="N934" s="735"/>
      <c r="O934" s="735"/>
    </row>
    <row r="935" spans="2:15">
      <c r="B935" s="334"/>
      <c r="C935" s="725">
        <f>IF(D898="","-",+C934+1)</f>
        <v>2047</v>
      </c>
      <c r="D935" s="676">
        <f t="shared" si="56"/>
        <v>23304590.084745776</v>
      </c>
      <c r="E935" s="732">
        <f t="shared" si="59"/>
        <v>817704.91525423725</v>
      </c>
      <c r="F935" s="676">
        <f t="shared" si="54"/>
        <v>22486885.169491537</v>
      </c>
      <c r="G935" s="1277">
        <f t="shared" si="57"/>
        <v>3288301.0688131261</v>
      </c>
      <c r="H935" s="1280">
        <f t="shared" si="58"/>
        <v>3288301.0688131261</v>
      </c>
      <c r="I935" s="729">
        <f t="shared" si="55"/>
        <v>0</v>
      </c>
      <c r="J935" s="729"/>
      <c r="K935" s="881"/>
      <c r="L935" s="735"/>
      <c r="M935" s="881"/>
      <c r="N935" s="735"/>
      <c r="O935" s="735"/>
    </row>
    <row r="936" spans="2:15">
      <c r="B936" s="334"/>
      <c r="C936" s="725">
        <f>IF(D898="","-",+C935+1)</f>
        <v>2048</v>
      </c>
      <c r="D936" s="676">
        <f t="shared" si="56"/>
        <v>22486885.169491537</v>
      </c>
      <c r="E936" s="732">
        <f t="shared" si="59"/>
        <v>817704.91525423725</v>
      </c>
      <c r="F936" s="676">
        <f t="shared" si="54"/>
        <v>21669180.254237298</v>
      </c>
      <c r="G936" s="1277">
        <f t="shared" si="57"/>
        <v>3200065.491900309</v>
      </c>
      <c r="H936" s="1280">
        <f t="shared" si="58"/>
        <v>3200065.491900309</v>
      </c>
      <c r="I936" s="729">
        <f t="shared" si="55"/>
        <v>0</v>
      </c>
      <c r="J936" s="729"/>
      <c r="K936" s="881"/>
      <c r="L936" s="735"/>
      <c r="M936" s="881"/>
      <c r="N936" s="735"/>
      <c r="O936" s="735"/>
    </row>
    <row r="937" spans="2:15">
      <c r="B937" s="334"/>
      <c r="C937" s="725">
        <f>IF(D898="","-",+C936+1)</f>
        <v>2049</v>
      </c>
      <c r="D937" s="676">
        <f t="shared" si="56"/>
        <v>21669180.254237298</v>
      </c>
      <c r="E937" s="732">
        <f t="shared" si="59"/>
        <v>817704.91525423725</v>
      </c>
      <c r="F937" s="676">
        <f t="shared" si="54"/>
        <v>20851475.338983059</v>
      </c>
      <c r="G937" s="1277">
        <f t="shared" si="57"/>
        <v>3111829.914987491</v>
      </c>
      <c r="H937" s="1280">
        <f t="shared" si="58"/>
        <v>3111829.914987491</v>
      </c>
      <c r="I937" s="729">
        <f t="shared" si="55"/>
        <v>0</v>
      </c>
      <c r="J937" s="729"/>
      <c r="K937" s="881"/>
      <c r="L937" s="735"/>
      <c r="M937" s="881"/>
      <c r="N937" s="735"/>
      <c r="O937" s="735"/>
    </row>
    <row r="938" spans="2:15">
      <c r="B938" s="334"/>
      <c r="C938" s="725">
        <f>IF(D898="","-",+C937+1)</f>
        <v>2050</v>
      </c>
      <c r="D938" s="676">
        <f t="shared" si="56"/>
        <v>20851475.338983059</v>
      </c>
      <c r="E938" s="732">
        <f t="shared" si="59"/>
        <v>817704.91525423725</v>
      </c>
      <c r="F938" s="676">
        <f t="shared" si="54"/>
        <v>20033770.42372882</v>
      </c>
      <c r="G938" s="1277">
        <f t="shared" si="57"/>
        <v>3023594.3380746739</v>
      </c>
      <c r="H938" s="1280">
        <f t="shared" si="58"/>
        <v>3023594.3380746739</v>
      </c>
      <c r="I938" s="729">
        <f t="shared" si="55"/>
        <v>0</v>
      </c>
      <c r="J938" s="729"/>
      <c r="K938" s="881"/>
      <c r="L938" s="735"/>
      <c r="M938" s="881"/>
      <c r="N938" s="735"/>
      <c r="O938" s="735"/>
    </row>
    <row r="939" spans="2:15">
      <c r="B939" s="334"/>
      <c r="C939" s="725">
        <f>IF(D898="","-",+C938+1)</f>
        <v>2051</v>
      </c>
      <c r="D939" s="676">
        <f t="shared" si="56"/>
        <v>20033770.42372882</v>
      </c>
      <c r="E939" s="732">
        <f t="shared" si="59"/>
        <v>817704.91525423725</v>
      </c>
      <c r="F939" s="676">
        <f t="shared" si="54"/>
        <v>19216065.508474581</v>
      </c>
      <c r="G939" s="1277">
        <f t="shared" si="57"/>
        <v>2935358.7611618559</v>
      </c>
      <c r="H939" s="1280">
        <f t="shared" si="58"/>
        <v>2935358.7611618559</v>
      </c>
      <c r="I939" s="729">
        <f t="shared" si="55"/>
        <v>0</v>
      </c>
      <c r="J939" s="729"/>
      <c r="K939" s="881"/>
      <c r="L939" s="735"/>
      <c r="M939" s="881"/>
      <c r="N939" s="735"/>
      <c r="O939" s="735"/>
    </row>
    <row r="940" spans="2:15">
      <c r="B940" s="334"/>
      <c r="C940" s="725">
        <f>IF(D898="","-",+C939+1)</f>
        <v>2052</v>
      </c>
      <c r="D940" s="676">
        <f t="shared" si="56"/>
        <v>19216065.508474581</v>
      </c>
      <c r="E940" s="732">
        <f t="shared" si="59"/>
        <v>817704.91525423725</v>
      </c>
      <c r="F940" s="676">
        <f t="shared" si="54"/>
        <v>18398360.593220342</v>
      </c>
      <c r="G940" s="1277">
        <f t="shared" si="57"/>
        <v>2847123.1842490388</v>
      </c>
      <c r="H940" s="1280">
        <f t="shared" si="58"/>
        <v>2847123.1842490388</v>
      </c>
      <c r="I940" s="729">
        <f t="shared" si="55"/>
        <v>0</v>
      </c>
      <c r="J940" s="729"/>
      <c r="K940" s="881"/>
      <c r="L940" s="735"/>
      <c r="M940" s="881"/>
      <c r="N940" s="735"/>
      <c r="O940" s="735"/>
    </row>
    <row r="941" spans="2:15">
      <c r="B941" s="334"/>
      <c r="C941" s="725">
        <f>IF(D898="","-",+C940+1)</f>
        <v>2053</v>
      </c>
      <c r="D941" s="676">
        <f t="shared" si="56"/>
        <v>18398360.593220342</v>
      </c>
      <c r="E941" s="732">
        <f t="shared" si="59"/>
        <v>817704.91525423725</v>
      </c>
      <c r="F941" s="676">
        <f t="shared" si="54"/>
        <v>17580655.677966103</v>
      </c>
      <c r="G941" s="1277">
        <f t="shared" si="57"/>
        <v>2758887.6073362208</v>
      </c>
      <c r="H941" s="1280">
        <f t="shared" si="58"/>
        <v>2758887.6073362208</v>
      </c>
      <c r="I941" s="729">
        <f t="shared" si="55"/>
        <v>0</v>
      </c>
      <c r="J941" s="729"/>
      <c r="K941" s="881"/>
      <c r="L941" s="735"/>
      <c r="M941" s="881"/>
      <c r="N941" s="735"/>
      <c r="O941" s="735"/>
    </row>
    <row r="942" spans="2:15">
      <c r="B942" s="334"/>
      <c r="C942" s="725">
        <f>IF(D898="","-",+C941+1)</f>
        <v>2054</v>
      </c>
      <c r="D942" s="676">
        <f t="shared" si="56"/>
        <v>17580655.677966103</v>
      </c>
      <c r="E942" s="732">
        <f t="shared" si="59"/>
        <v>817704.91525423725</v>
      </c>
      <c r="F942" s="676">
        <f t="shared" si="54"/>
        <v>16762950.762711866</v>
      </c>
      <c r="G942" s="1277">
        <f t="shared" si="57"/>
        <v>2670652.0304234033</v>
      </c>
      <c r="H942" s="1280">
        <f t="shared" si="58"/>
        <v>2670652.0304234033</v>
      </c>
      <c r="I942" s="729">
        <f t="shared" si="55"/>
        <v>0</v>
      </c>
      <c r="J942" s="729"/>
      <c r="K942" s="881"/>
      <c r="L942" s="735"/>
      <c r="M942" s="881"/>
      <c r="N942" s="735"/>
      <c r="O942" s="735"/>
    </row>
    <row r="943" spans="2:15">
      <c r="B943" s="334"/>
      <c r="C943" s="725">
        <f>IF(D898="","-",+C942+1)</f>
        <v>2055</v>
      </c>
      <c r="D943" s="676">
        <f t="shared" si="56"/>
        <v>16762950.762711866</v>
      </c>
      <c r="E943" s="732">
        <f t="shared" si="59"/>
        <v>817704.91525423725</v>
      </c>
      <c r="F943" s="676">
        <f t="shared" si="54"/>
        <v>15945245.847457629</v>
      </c>
      <c r="G943" s="1277">
        <f t="shared" si="57"/>
        <v>2582416.4535105857</v>
      </c>
      <c r="H943" s="1280">
        <f t="shared" si="58"/>
        <v>2582416.4535105857</v>
      </c>
      <c r="I943" s="729">
        <f t="shared" si="55"/>
        <v>0</v>
      </c>
      <c r="J943" s="729"/>
      <c r="K943" s="881"/>
      <c r="L943" s="735"/>
      <c r="M943" s="881"/>
      <c r="N943" s="735"/>
      <c r="O943" s="735"/>
    </row>
    <row r="944" spans="2:15">
      <c r="B944" s="334"/>
      <c r="C944" s="725">
        <f>IF(D898="","-",+C943+1)</f>
        <v>2056</v>
      </c>
      <c r="D944" s="676">
        <f t="shared" si="56"/>
        <v>15945245.847457629</v>
      </c>
      <c r="E944" s="732">
        <f t="shared" si="59"/>
        <v>817704.91525423725</v>
      </c>
      <c r="F944" s="676">
        <f t="shared" si="54"/>
        <v>15127540.932203392</v>
      </c>
      <c r="G944" s="1277">
        <f t="shared" si="57"/>
        <v>2494180.8765977686</v>
      </c>
      <c r="H944" s="1280">
        <f t="shared" si="58"/>
        <v>2494180.8765977686</v>
      </c>
      <c r="I944" s="729">
        <f t="shared" si="55"/>
        <v>0</v>
      </c>
      <c r="J944" s="729"/>
      <c r="K944" s="881"/>
      <c r="L944" s="735"/>
      <c r="M944" s="881"/>
      <c r="N944" s="735"/>
      <c r="O944" s="735"/>
    </row>
    <row r="945" spans="2:15">
      <c r="B945" s="334"/>
      <c r="C945" s="725">
        <f>IF(D898="","-",+C944+1)</f>
        <v>2057</v>
      </c>
      <c r="D945" s="676">
        <f t="shared" si="56"/>
        <v>15127540.932203392</v>
      </c>
      <c r="E945" s="732">
        <f t="shared" si="59"/>
        <v>817704.91525423725</v>
      </c>
      <c r="F945" s="676">
        <f t="shared" si="54"/>
        <v>14309836.016949154</v>
      </c>
      <c r="G945" s="1277">
        <f t="shared" si="57"/>
        <v>2405945.2996849511</v>
      </c>
      <c r="H945" s="1280">
        <f t="shared" si="58"/>
        <v>2405945.2996849511</v>
      </c>
      <c r="I945" s="729">
        <f t="shared" si="55"/>
        <v>0</v>
      </c>
      <c r="J945" s="729"/>
      <c r="K945" s="881"/>
      <c r="L945" s="735"/>
      <c r="M945" s="881"/>
      <c r="N945" s="735"/>
      <c r="O945" s="735"/>
    </row>
    <row r="946" spans="2:15">
      <c r="B946" s="334"/>
      <c r="C946" s="725">
        <f>IF(D898="","-",+C945+1)</f>
        <v>2058</v>
      </c>
      <c r="D946" s="676">
        <f t="shared" si="56"/>
        <v>14309836.016949154</v>
      </c>
      <c r="E946" s="732">
        <f t="shared" si="59"/>
        <v>817704.91525423725</v>
      </c>
      <c r="F946" s="676">
        <f t="shared" si="54"/>
        <v>13492131.101694917</v>
      </c>
      <c r="G946" s="1277">
        <f t="shared" si="57"/>
        <v>2317709.722772134</v>
      </c>
      <c r="H946" s="1280">
        <f t="shared" si="58"/>
        <v>2317709.722772134</v>
      </c>
      <c r="I946" s="729">
        <f t="shared" si="55"/>
        <v>0</v>
      </c>
      <c r="J946" s="729"/>
      <c r="K946" s="881"/>
      <c r="L946" s="735"/>
      <c r="M946" s="881"/>
      <c r="N946" s="735"/>
      <c r="O946" s="735"/>
    </row>
    <row r="947" spans="2:15">
      <c r="B947" s="334"/>
      <c r="C947" s="725">
        <f>IF(D898="","-",+C946+1)</f>
        <v>2059</v>
      </c>
      <c r="D947" s="676">
        <f t="shared" si="56"/>
        <v>13492131.101694917</v>
      </c>
      <c r="E947" s="732">
        <f t="shared" si="59"/>
        <v>817704.91525423725</v>
      </c>
      <c r="F947" s="676">
        <f t="shared" si="54"/>
        <v>12674426.18644068</v>
      </c>
      <c r="G947" s="1277">
        <f t="shared" si="57"/>
        <v>2229474.145859316</v>
      </c>
      <c r="H947" s="1280">
        <f t="shared" si="58"/>
        <v>2229474.145859316</v>
      </c>
      <c r="I947" s="729">
        <f t="shared" si="55"/>
        <v>0</v>
      </c>
      <c r="J947" s="729"/>
      <c r="K947" s="881"/>
      <c r="L947" s="735"/>
      <c r="M947" s="881"/>
      <c r="N947" s="735"/>
      <c r="O947" s="735"/>
    </row>
    <row r="948" spans="2:15">
      <c r="B948" s="334"/>
      <c r="C948" s="725">
        <f>IF(D898="","-",+C947+1)</f>
        <v>2060</v>
      </c>
      <c r="D948" s="676">
        <f t="shared" si="56"/>
        <v>12674426.18644068</v>
      </c>
      <c r="E948" s="732">
        <f t="shared" si="59"/>
        <v>817704.91525423725</v>
      </c>
      <c r="F948" s="676">
        <f t="shared" si="54"/>
        <v>11856721.271186443</v>
      </c>
      <c r="G948" s="1277">
        <f t="shared" si="57"/>
        <v>2141238.5689464989</v>
      </c>
      <c r="H948" s="1280">
        <f t="shared" si="58"/>
        <v>2141238.5689464989</v>
      </c>
      <c r="I948" s="729">
        <f t="shared" si="55"/>
        <v>0</v>
      </c>
      <c r="J948" s="729"/>
      <c r="K948" s="881"/>
      <c r="L948" s="735"/>
      <c r="M948" s="881"/>
      <c r="N948" s="735"/>
      <c r="O948" s="735"/>
    </row>
    <row r="949" spans="2:15">
      <c r="B949" s="334"/>
      <c r="C949" s="725">
        <f>IF(D898="","-",+C948+1)</f>
        <v>2061</v>
      </c>
      <c r="D949" s="676">
        <f t="shared" si="56"/>
        <v>11856721.271186443</v>
      </c>
      <c r="E949" s="732">
        <f t="shared" si="59"/>
        <v>817704.91525423725</v>
      </c>
      <c r="F949" s="676">
        <f t="shared" si="54"/>
        <v>11039016.355932206</v>
      </c>
      <c r="G949" s="1277">
        <f t="shared" si="57"/>
        <v>2053002.9920336814</v>
      </c>
      <c r="H949" s="1280">
        <f t="shared" si="58"/>
        <v>2053002.9920336814</v>
      </c>
      <c r="I949" s="729">
        <f t="shared" si="55"/>
        <v>0</v>
      </c>
      <c r="J949" s="729"/>
      <c r="K949" s="881"/>
      <c r="L949" s="735"/>
      <c r="M949" s="881"/>
      <c r="N949" s="735"/>
      <c r="O949" s="735"/>
    </row>
    <row r="950" spans="2:15">
      <c r="B950" s="334"/>
      <c r="C950" s="725">
        <f>IF(D898="","-",+C949+1)</f>
        <v>2062</v>
      </c>
      <c r="D950" s="676">
        <f t="shared" si="56"/>
        <v>11039016.355932206</v>
      </c>
      <c r="E950" s="732">
        <f t="shared" si="59"/>
        <v>817704.91525423725</v>
      </c>
      <c r="F950" s="676">
        <f t="shared" si="54"/>
        <v>10221311.440677969</v>
      </c>
      <c r="G950" s="1277">
        <f t="shared" si="57"/>
        <v>1964767.4151208643</v>
      </c>
      <c r="H950" s="1280">
        <f t="shared" si="58"/>
        <v>1964767.4151208643</v>
      </c>
      <c r="I950" s="729">
        <f t="shared" si="55"/>
        <v>0</v>
      </c>
      <c r="J950" s="729"/>
      <c r="K950" s="881"/>
      <c r="L950" s="735"/>
      <c r="M950" s="881"/>
      <c r="N950" s="735"/>
      <c r="O950" s="735"/>
    </row>
    <row r="951" spans="2:15">
      <c r="B951" s="334"/>
      <c r="C951" s="725">
        <f>IF(D898="","-",+C950+1)</f>
        <v>2063</v>
      </c>
      <c r="D951" s="676">
        <f t="shared" si="56"/>
        <v>10221311.440677969</v>
      </c>
      <c r="E951" s="732">
        <f t="shared" si="59"/>
        <v>817704.91525423725</v>
      </c>
      <c r="F951" s="676">
        <f t="shared" si="54"/>
        <v>9403606.5254237317</v>
      </c>
      <c r="G951" s="1277">
        <f t="shared" si="57"/>
        <v>1876531.8382080467</v>
      </c>
      <c r="H951" s="1280">
        <f t="shared" si="58"/>
        <v>1876531.8382080467</v>
      </c>
      <c r="I951" s="729">
        <f t="shared" si="55"/>
        <v>0</v>
      </c>
      <c r="J951" s="729"/>
      <c r="K951" s="881"/>
      <c r="L951" s="735"/>
      <c r="M951" s="881"/>
      <c r="N951" s="735"/>
      <c r="O951" s="735"/>
    </row>
    <row r="952" spans="2:15">
      <c r="B952" s="334"/>
      <c r="C952" s="725">
        <f>IF(D898="","-",+C951+1)</f>
        <v>2064</v>
      </c>
      <c r="D952" s="676">
        <f t="shared" si="56"/>
        <v>9403606.5254237317</v>
      </c>
      <c r="E952" s="732">
        <f t="shared" si="59"/>
        <v>817704.91525423725</v>
      </c>
      <c r="F952" s="676">
        <f t="shared" si="54"/>
        <v>8585901.6101694945</v>
      </c>
      <c r="G952" s="1277">
        <f t="shared" si="57"/>
        <v>1788296.2612952292</v>
      </c>
      <c r="H952" s="1280">
        <f t="shared" si="58"/>
        <v>1788296.2612952292</v>
      </c>
      <c r="I952" s="729">
        <f t="shared" si="55"/>
        <v>0</v>
      </c>
      <c r="J952" s="729"/>
      <c r="K952" s="881"/>
      <c r="L952" s="735"/>
      <c r="M952" s="881"/>
      <c r="N952" s="735"/>
      <c r="O952" s="735"/>
    </row>
    <row r="953" spans="2:15">
      <c r="B953" s="334"/>
      <c r="C953" s="725">
        <f>IF(D898="","-",+C952+1)</f>
        <v>2065</v>
      </c>
      <c r="D953" s="676">
        <f t="shared" si="56"/>
        <v>8585901.6101694945</v>
      </c>
      <c r="E953" s="732">
        <f t="shared" si="59"/>
        <v>817704.91525423725</v>
      </c>
      <c r="F953" s="676">
        <f t="shared" si="54"/>
        <v>7768196.6949152574</v>
      </c>
      <c r="G953" s="1277">
        <f t="shared" si="57"/>
        <v>1700060.6843824119</v>
      </c>
      <c r="H953" s="1280">
        <f t="shared" si="58"/>
        <v>1700060.6843824119</v>
      </c>
      <c r="I953" s="729">
        <f t="shared" si="55"/>
        <v>0</v>
      </c>
      <c r="J953" s="729"/>
      <c r="K953" s="881"/>
      <c r="L953" s="735"/>
      <c r="M953" s="881"/>
      <c r="N953" s="735"/>
      <c r="O953" s="735"/>
    </row>
    <row r="954" spans="2:15">
      <c r="B954" s="334"/>
      <c r="C954" s="725">
        <f>IF(D898="","-",+C953+1)</f>
        <v>2066</v>
      </c>
      <c r="D954" s="676">
        <f t="shared" si="56"/>
        <v>7768196.6949152574</v>
      </c>
      <c r="E954" s="732">
        <f t="shared" si="59"/>
        <v>817704.91525423725</v>
      </c>
      <c r="F954" s="676">
        <f t="shared" si="54"/>
        <v>6950491.7796610203</v>
      </c>
      <c r="G954" s="1277">
        <f t="shared" si="57"/>
        <v>1611825.1074695946</v>
      </c>
      <c r="H954" s="1280">
        <f t="shared" si="58"/>
        <v>1611825.1074695946</v>
      </c>
      <c r="I954" s="729">
        <f t="shared" si="55"/>
        <v>0</v>
      </c>
      <c r="J954" s="729"/>
      <c r="K954" s="881"/>
      <c r="L954" s="735"/>
      <c r="M954" s="881"/>
      <c r="N954" s="735"/>
      <c r="O954" s="735"/>
    </row>
    <row r="955" spans="2:15">
      <c r="B955" s="334"/>
      <c r="C955" s="725">
        <f>IF(D898="","-",+C954+1)</f>
        <v>2067</v>
      </c>
      <c r="D955" s="676">
        <f t="shared" si="56"/>
        <v>6950491.7796610203</v>
      </c>
      <c r="E955" s="732">
        <f t="shared" si="59"/>
        <v>817704.91525423725</v>
      </c>
      <c r="F955" s="676">
        <f t="shared" si="54"/>
        <v>6132786.8644067831</v>
      </c>
      <c r="G955" s="1277">
        <f t="shared" si="57"/>
        <v>1523589.530556777</v>
      </c>
      <c r="H955" s="1280">
        <f t="shared" si="58"/>
        <v>1523589.530556777</v>
      </c>
      <c r="I955" s="729">
        <f t="shared" si="55"/>
        <v>0</v>
      </c>
      <c r="J955" s="729"/>
      <c r="K955" s="881"/>
      <c r="L955" s="735"/>
      <c r="M955" s="881"/>
      <c r="N955" s="735"/>
      <c r="O955" s="735"/>
    </row>
    <row r="956" spans="2:15">
      <c r="B956" s="334"/>
      <c r="C956" s="725">
        <f>IF(D898="","-",+C955+1)</f>
        <v>2068</v>
      </c>
      <c r="D956" s="676">
        <f t="shared" si="56"/>
        <v>6132786.8644067831</v>
      </c>
      <c r="E956" s="732">
        <f t="shared" si="59"/>
        <v>817704.91525423725</v>
      </c>
      <c r="F956" s="676">
        <f t="shared" si="54"/>
        <v>5315081.949152546</v>
      </c>
      <c r="G956" s="1277">
        <f t="shared" si="57"/>
        <v>1435353.9536439595</v>
      </c>
      <c r="H956" s="1280">
        <f t="shared" si="58"/>
        <v>1435353.9536439595</v>
      </c>
      <c r="I956" s="729">
        <f t="shared" si="55"/>
        <v>0</v>
      </c>
      <c r="J956" s="729"/>
      <c r="K956" s="881"/>
      <c r="L956" s="735"/>
      <c r="M956" s="881"/>
      <c r="N956" s="735"/>
      <c r="O956" s="735"/>
    </row>
    <row r="957" spans="2:15">
      <c r="B957" s="334"/>
      <c r="C957" s="725">
        <f>IF(D898="","-",+C956+1)</f>
        <v>2069</v>
      </c>
      <c r="D957" s="676">
        <f t="shared" si="56"/>
        <v>5315081.949152546</v>
      </c>
      <c r="E957" s="732">
        <f t="shared" si="59"/>
        <v>817704.91525423725</v>
      </c>
      <c r="F957" s="676">
        <f t="shared" si="54"/>
        <v>4497377.0338983089</v>
      </c>
      <c r="G957" s="1277">
        <f t="shared" si="57"/>
        <v>1347118.3767311422</v>
      </c>
      <c r="H957" s="1280">
        <f t="shared" si="58"/>
        <v>1347118.3767311422</v>
      </c>
      <c r="I957" s="729">
        <f t="shared" si="55"/>
        <v>0</v>
      </c>
      <c r="J957" s="729"/>
      <c r="K957" s="881"/>
      <c r="L957" s="735"/>
      <c r="M957" s="881"/>
      <c r="N957" s="735"/>
      <c r="O957" s="735"/>
    </row>
    <row r="958" spans="2:15">
      <c r="B958" s="334"/>
      <c r="C958" s="725">
        <f>IF(D898="","-",+C957+1)</f>
        <v>2070</v>
      </c>
      <c r="D958" s="676">
        <f t="shared" si="56"/>
        <v>4497377.0338983089</v>
      </c>
      <c r="E958" s="732">
        <f t="shared" si="59"/>
        <v>817704.91525423725</v>
      </c>
      <c r="F958" s="676">
        <f t="shared" si="54"/>
        <v>3679672.1186440717</v>
      </c>
      <c r="G958" s="1277">
        <f t="shared" si="57"/>
        <v>1258882.7998183249</v>
      </c>
      <c r="H958" s="1280">
        <f t="shared" si="58"/>
        <v>1258882.7998183249</v>
      </c>
      <c r="I958" s="729">
        <f t="shared" si="55"/>
        <v>0</v>
      </c>
      <c r="J958" s="729"/>
      <c r="K958" s="881"/>
      <c r="L958" s="735"/>
      <c r="M958" s="881"/>
      <c r="N958" s="735"/>
      <c r="O958" s="735"/>
    </row>
    <row r="959" spans="2:15">
      <c r="B959" s="334"/>
      <c r="C959" s="725">
        <f>IF(D898="","-",+C958+1)</f>
        <v>2071</v>
      </c>
      <c r="D959" s="676">
        <f t="shared" si="56"/>
        <v>3679672.1186440717</v>
      </c>
      <c r="E959" s="732">
        <f t="shared" si="59"/>
        <v>817704.91525423725</v>
      </c>
      <c r="F959" s="676">
        <f t="shared" si="54"/>
        <v>2861967.2033898346</v>
      </c>
      <c r="G959" s="1277">
        <f t="shared" si="57"/>
        <v>1170647.2229055073</v>
      </c>
      <c r="H959" s="1280">
        <f t="shared" si="58"/>
        <v>1170647.2229055073</v>
      </c>
      <c r="I959" s="729">
        <f t="shared" si="55"/>
        <v>0</v>
      </c>
      <c r="J959" s="729"/>
      <c r="K959" s="881"/>
      <c r="L959" s="735"/>
      <c r="M959" s="881"/>
      <c r="N959" s="735"/>
      <c r="O959" s="735"/>
    </row>
    <row r="960" spans="2:15">
      <c r="B960" s="334"/>
      <c r="C960" s="725">
        <f>IF(D898="","-",+C959+1)</f>
        <v>2072</v>
      </c>
      <c r="D960" s="676">
        <f t="shared" si="56"/>
        <v>2861967.2033898346</v>
      </c>
      <c r="E960" s="732">
        <f t="shared" si="59"/>
        <v>817704.91525423725</v>
      </c>
      <c r="F960" s="676">
        <f t="shared" si="54"/>
        <v>2044262.2881355975</v>
      </c>
      <c r="G960" s="1277">
        <f t="shared" si="57"/>
        <v>1082411.64599269</v>
      </c>
      <c r="H960" s="1280">
        <f t="shared" si="58"/>
        <v>1082411.64599269</v>
      </c>
      <c r="I960" s="729">
        <f t="shared" si="55"/>
        <v>0</v>
      </c>
      <c r="J960" s="729"/>
      <c r="K960" s="881"/>
      <c r="L960" s="735"/>
      <c r="M960" s="881"/>
      <c r="N960" s="735"/>
      <c r="O960" s="735"/>
    </row>
    <row r="961" spans="1:16">
      <c r="B961" s="334"/>
      <c r="C961" s="725">
        <f>IF(D898="","-",+C960+1)</f>
        <v>2073</v>
      </c>
      <c r="D961" s="676">
        <f t="shared" si="56"/>
        <v>2044262.2881355975</v>
      </c>
      <c r="E961" s="732">
        <f t="shared" si="59"/>
        <v>817704.91525423725</v>
      </c>
      <c r="F961" s="676">
        <f t="shared" si="54"/>
        <v>1226557.3728813604</v>
      </c>
      <c r="G961" s="1277">
        <f t="shared" si="57"/>
        <v>994176.06907987257</v>
      </c>
      <c r="H961" s="1280">
        <f t="shared" si="58"/>
        <v>994176.06907987257</v>
      </c>
      <c r="I961" s="729">
        <f t="shared" si="55"/>
        <v>0</v>
      </c>
      <c r="J961" s="729"/>
      <c r="K961" s="881"/>
      <c r="L961" s="735"/>
      <c r="M961" s="881"/>
      <c r="N961" s="735"/>
      <c r="O961" s="735"/>
    </row>
    <row r="962" spans="1:16">
      <c r="B962" s="334"/>
      <c r="C962" s="725">
        <f>IF(D898="","-",+C961+1)</f>
        <v>2074</v>
      </c>
      <c r="D962" s="676">
        <f t="shared" si="56"/>
        <v>1226557.3728813604</v>
      </c>
      <c r="E962" s="732">
        <f t="shared" si="59"/>
        <v>817704.91525423725</v>
      </c>
      <c r="F962" s="676">
        <f t="shared" si="54"/>
        <v>408852.45762712311</v>
      </c>
      <c r="G962" s="1277">
        <f t="shared" si="57"/>
        <v>905940.49216705514</v>
      </c>
      <c r="H962" s="1280">
        <f t="shared" si="58"/>
        <v>905940.49216705514</v>
      </c>
      <c r="I962" s="729">
        <f t="shared" si="55"/>
        <v>0</v>
      </c>
      <c r="J962" s="729"/>
      <c r="K962" s="881"/>
      <c r="L962" s="735"/>
      <c r="M962" s="881"/>
      <c r="N962" s="735"/>
      <c r="O962" s="735"/>
    </row>
    <row r="963" spans="1:16" ht="13.5" thickBot="1">
      <c r="B963" s="334"/>
      <c r="C963" s="737">
        <f>IF(D898="","-",+C962+1)</f>
        <v>2075</v>
      </c>
      <c r="D963" s="738">
        <f t="shared" si="56"/>
        <v>408852.45762712311</v>
      </c>
      <c r="E963" s="739">
        <f t="shared" si="59"/>
        <v>408852.45762712311</v>
      </c>
      <c r="F963" s="738">
        <f t="shared" si="54"/>
        <v>0</v>
      </c>
      <c r="G963" s="1287">
        <f t="shared" si="57"/>
        <v>430911.35185532772</v>
      </c>
      <c r="H963" s="1287">
        <f t="shared" si="58"/>
        <v>430911.35185532772</v>
      </c>
      <c r="I963" s="741">
        <f t="shared" si="55"/>
        <v>0</v>
      </c>
      <c r="J963" s="729"/>
      <c r="K963" s="882"/>
      <c r="L963" s="743"/>
      <c r="M963" s="882"/>
      <c r="N963" s="743"/>
      <c r="O963" s="743"/>
    </row>
    <row r="964" spans="1:16">
      <c r="B964" s="334"/>
      <c r="C964" s="676" t="s">
        <v>289</v>
      </c>
      <c r="D964" s="1258"/>
      <c r="E964" s="1258">
        <f>SUM(E904:E963)</f>
        <v>48244590</v>
      </c>
      <c r="F964" s="1258"/>
      <c r="G964" s="1258">
        <f>SUM(G904:G963)</f>
        <v>204421561.13568693</v>
      </c>
      <c r="H964" s="1258">
        <f>SUM(H904:H963)</f>
        <v>204421561.13568693</v>
      </c>
      <c r="I964" s="1258">
        <f>SUM(I904:I963)</f>
        <v>0</v>
      </c>
      <c r="J964" s="1258"/>
      <c r="K964" s="1258"/>
      <c r="L964" s="1258"/>
      <c r="M964" s="1258"/>
      <c r="N964" s="1258"/>
      <c r="O964" s="543"/>
    </row>
    <row r="965" spans="1:16">
      <c r="B965" s="334"/>
      <c r="D965" s="566"/>
      <c r="E965" s="543"/>
      <c r="F965" s="543"/>
      <c r="G965" s="543"/>
      <c r="H965" s="1257"/>
      <c r="I965" s="1257"/>
      <c r="J965" s="1258"/>
      <c r="K965" s="1257"/>
      <c r="L965" s="1257"/>
      <c r="M965" s="1257"/>
      <c r="N965" s="1257"/>
      <c r="O965" s="543"/>
    </row>
    <row r="966" spans="1:16">
      <c r="B966" s="334"/>
      <c r="C966" s="543" t="s">
        <v>602</v>
      </c>
      <c r="D966" s="566"/>
      <c r="E966" s="543"/>
      <c r="F966" s="543"/>
      <c r="G966" s="543"/>
      <c r="H966" s="1257"/>
      <c r="I966" s="1257"/>
      <c r="J966" s="1258"/>
      <c r="K966" s="1257"/>
      <c r="L966" s="1257"/>
      <c r="M966" s="1257"/>
      <c r="N966" s="1257"/>
      <c r="O966" s="543"/>
    </row>
    <row r="967" spans="1:16">
      <c r="B967" s="334"/>
      <c r="D967" s="566"/>
      <c r="E967" s="543"/>
      <c r="F967" s="543"/>
      <c r="G967" s="543"/>
      <c r="H967" s="1257"/>
      <c r="I967" s="1257"/>
      <c r="J967" s="1258"/>
      <c r="K967" s="1257"/>
      <c r="L967" s="1257"/>
      <c r="M967" s="1257"/>
      <c r="N967" s="1257"/>
      <c r="O967" s="543"/>
    </row>
    <row r="968" spans="1:16">
      <c r="B968" s="334"/>
      <c r="C968" s="579" t="s">
        <v>603</v>
      </c>
      <c r="D968" s="676"/>
      <c r="E968" s="676"/>
      <c r="F968" s="676"/>
      <c r="G968" s="1258"/>
      <c r="H968" s="1258"/>
      <c r="I968" s="677"/>
      <c r="J968" s="677"/>
      <c r="K968" s="677"/>
      <c r="L968" s="677"/>
      <c r="M968" s="677"/>
      <c r="N968" s="677"/>
      <c r="O968" s="543"/>
    </row>
    <row r="969" spans="1:16">
      <c r="B969" s="334"/>
      <c r="C969" s="579" t="s">
        <v>477</v>
      </c>
      <c r="D969" s="676"/>
      <c r="E969" s="676"/>
      <c r="F969" s="676"/>
      <c r="G969" s="1258"/>
      <c r="H969" s="1258"/>
      <c r="I969" s="677"/>
      <c r="J969" s="677"/>
      <c r="K969" s="677"/>
      <c r="L969" s="677"/>
      <c r="M969" s="677"/>
      <c r="N969" s="677"/>
      <c r="O969" s="543"/>
    </row>
    <row r="970" spans="1:16">
      <c r="B970" s="334"/>
      <c r="C970" s="579" t="s">
        <v>290</v>
      </c>
      <c r="D970" s="676"/>
      <c r="E970" s="676"/>
      <c r="F970" s="676"/>
      <c r="G970" s="1258"/>
      <c r="H970" s="1258"/>
      <c r="I970" s="677"/>
      <c r="J970" s="677"/>
      <c r="K970" s="677"/>
      <c r="L970" s="677"/>
      <c r="M970" s="677"/>
      <c r="N970" s="677"/>
      <c r="O970" s="543"/>
    </row>
    <row r="971" spans="1:16">
      <c r="B971" s="334"/>
      <c r="C971" s="675"/>
      <c r="D971" s="676"/>
      <c r="E971" s="676"/>
      <c r="F971" s="676"/>
      <c r="G971" s="1258"/>
      <c r="H971" s="1258"/>
      <c r="I971" s="677"/>
      <c r="J971" s="677"/>
      <c r="K971" s="677"/>
      <c r="L971" s="677"/>
      <c r="M971" s="677"/>
      <c r="N971" s="677"/>
      <c r="O971" s="543"/>
    </row>
    <row r="972" spans="1:16">
      <c r="B972" s="334"/>
      <c r="C972" s="1436" t="s">
        <v>461</v>
      </c>
      <c r="D972" s="1436"/>
      <c r="E972" s="1436"/>
      <c r="F972" s="1436"/>
      <c r="G972" s="1436"/>
      <c r="H972" s="1436"/>
      <c r="I972" s="1436"/>
      <c r="J972" s="1436"/>
      <c r="K972" s="1436"/>
      <c r="L972" s="1436"/>
      <c r="M972" s="1436"/>
      <c r="N972" s="1436"/>
      <c r="O972" s="1436"/>
    </row>
    <row r="973" spans="1:16">
      <c r="B973" s="334"/>
      <c r="C973" s="1436"/>
      <c r="D973" s="1436"/>
      <c r="E973" s="1436"/>
      <c r="F973" s="1436"/>
      <c r="G973" s="1436"/>
      <c r="H973" s="1436"/>
      <c r="I973" s="1436"/>
      <c r="J973" s="1436"/>
      <c r="K973" s="1436"/>
      <c r="L973" s="1436"/>
      <c r="M973" s="1436"/>
      <c r="N973" s="1436"/>
      <c r="O973" s="1436"/>
    </row>
    <row r="974" spans="1:16" ht="20.25">
      <c r="A974" s="678" t="s">
        <v>993</v>
      </c>
      <c r="B974" s="543"/>
      <c r="C974" s="658"/>
      <c r="D974" s="566"/>
      <c r="E974" s="543"/>
      <c r="F974" s="648"/>
      <c r="G974" s="543"/>
      <c r="H974" s="1257"/>
      <c r="K974" s="679"/>
      <c r="L974" s="679"/>
      <c r="M974" s="679"/>
      <c r="N974" s="594" t="str">
        <f>"Page "&amp;SUM(P$6:P974)&amp;" of "</f>
        <v xml:space="preserve">Page 12 of </v>
      </c>
      <c r="O974" s="595">
        <f>COUNT(P$6:P$59606)</f>
        <v>14</v>
      </c>
      <c r="P974" s="543">
        <v>1</v>
      </c>
    </row>
    <row r="975" spans="1:16">
      <c r="B975" s="543"/>
      <c r="C975" s="543"/>
      <c r="D975" s="566"/>
      <c r="E975" s="543"/>
      <c r="F975" s="543"/>
      <c r="G975" s="543"/>
      <c r="H975" s="1257"/>
      <c r="I975" s="543"/>
      <c r="J975" s="591"/>
      <c r="K975" s="543"/>
      <c r="L975" s="543"/>
      <c r="M975" s="543"/>
      <c r="N975" s="543"/>
      <c r="O975" s="543"/>
    </row>
    <row r="976" spans="1:16" ht="18">
      <c r="B976" s="598" t="s">
        <v>175</v>
      </c>
      <c r="C976" s="680" t="s">
        <v>291</v>
      </c>
      <c r="D976" s="566"/>
      <c r="E976" s="543"/>
      <c r="F976" s="543"/>
      <c r="G976" s="543"/>
      <c r="H976" s="1257"/>
      <c r="I976" s="1257"/>
      <c r="J976" s="1258"/>
      <c r="K976" s="1257"/>
      <c r="L976" s="1257"/>
      <c r="M976" s="1257"/>
      <c r="N976" s="1257"/>
      <c r="O976" s="543"/>
    </row>
    <row r="977" spans="1:15" ht="18.75">
      <c r="B977" s="598"/>
      <c r="C977" s="597"/>
      <c r="D977" s="566"/>
      <c r="E977" s="543"/>
      <c r="F977" s="543"/>
      <c r="G977" s="543"/>
      <c r="H977" s="1257"/>
      <c r="I977" s="1257"/>
      <c r="J977" s="1258"/>
      <c r="K977" s="1257"/>
      <c r="L977" s="1257"/>
      <c r="M977" s="1257"/>
      <c r="N977" s="1257"/>
      <c r="O977" s="543"/>
    </row>
    <row r="978" spans="1:15" ht="18.75">
      <c r="B978" s="598"/>
      <c r="C978" s="597" t="s">
        <v>292</v>
      </c>
      <c r="D978" s="566"/>
      <c r="E978" s="543"/>
      <c r="F978" s="543"/>
      <c r="G978" s="543"/>
      <c r="H978" s="1257"/>
      <c r="I978" s="1257"/>
      <c r="J978" s="1258"/>
      <c r="K978" s="1257"/>
      <c r="L978" s="1257"/>
      <c r="M978" s="1257"/>
      <c r="N978" s="1257"/>
      <c r="O978" s="543"/>
    </row>
    <row r="979" spans="1:15" ht="15.75" thickBot="1">
      <c r="B979" s="334"/>
      <c r="C979" s="400"/>
      <c r="D979" s="566"/>
      <c r="E979" s="543"/>
      <c r="F979" s="543"/>
      <c r="G979" s="543"/>
      <c r="H979" s="1257"/>
      <c r="I979" s="1257"/>
      <c r="J979" s="1258"/>
      <c r="K979" s="1257"/>
      <c r="L979" s="1257"/>
      <c r="M979" s="1257"/>
      <c r="N979" s="1257"/>
      <c r="O979" s="543"/>
    </row>
    <row r="980" spans="1:15" ht="15.75">
      <c r="B980" s="334"/>
      <c r="C980" s="599" t="s">
        <v>293</v>
      </c>
      <c r="D980" s="566"/>
      <c r="E980" s="543"/>
      <c r="F980" s="543"/>
      <c r="G980" s="1259"/>
      <c r="H980" s="543" t="s">
        <v>272</v>
      </c>
      <c r="I980" s="543"/>
      <c r="J980" s="591"/>
      <c r="K980" s="681" t="s">
        <v>297</v>
      </c>
      <c r="L980" s="682"/>
      <c r="M980" s="683"/>
      <c r="N980" s="1260">
        <f>VLOOKUP(I986,C993:O1052,5)</f>
        <v>31295.164397972098</v>
      </c>
      <c r="O980" s="543"/>
    </row>
    <row r="981" spans="1:15" ht="15.75">
      <c r="B981" s="334"/>
      <c r="C981" s="599"/>
      <c r="D981" s="566"/>
      <c r="E981" s="543"/>
      <c r="F981" s="543"/>
      <c r="G981" s="543"/>
      <c r="H981" s="1261"/>
      <c r="I981" s="1261"/>
      <c r="J981" s="1262"/>
      <c r="K981" s="686" t="s">
        <v>298</v>
      </c>
      <c r="L981" s="1263"/>
      <c r="M981" s="591"/>
      <c r="N981" s="1264">
        <f>VLOOKUP(I986,C993:O1052,6)</f>
        <v>31295.164397972098</v>
      </c>
      <c r="O981" s="543"/>
    </row>
    <row r="982" spans="1:15" ht="13.5" thickBot="1">
      <c r="B982" s="334"/>
      <c r="C982" s="687" t="s">
        <v>294</v>
      </c>
      <c r="D982" s="1434" t="s">
        <v>1005</v>
      </c>
      <c r="E982" s="1434"/>
      <c r="F982" s="1434"/>
      <c r="G982" s="1434"/>
      <c r="H982" s="1434"/>
      <c r="I982" s="1257"/>
      <c r="J982" s="1258"/>
      <c r="K982" s="1265" t="s">
        <v>451</v>
      </c>
      <c r="L982" s="1266"/>
      <c r="M982" s="1266"/>
      <c r="N982" s="1267">
        <f>+N981-N980</f>
        <v>0</v>
      </c>
      <c r="O982" s="543"/>
    </row>
    <row r="983" spans="1:15">
      <c r="B983" s="334"/>
      <c r="C983" s="689"/>
      <c r="D983" s="690"/>
      <c r="E983" s="674"/>
      <c r="F983" s="674"/>
      <c r="G983" s="691"/>
      <c r="H983" s="1257"/>
      <c r="I983" s="1257"/>
      <c r="J983" s="1258"/>
      <c r="K983" s="1257"/>
      <c r="L983" s="1257"/>
      <c r="M983" s="1257"/>
      <c r="N983" s="1257"/>
      <c r="O983" s="543"/>
    </row>
    <row r="984" spans="1:15" ht="13.5" thickBot="1">
      <c r="B984" s="334"/>
      <c r="C984" s="692"/>
      <c r="D984" s="693"/>
      <c r="E984" s="691"/>
      <c r="F984" s="691"/>
      <c r="G984" s="691"/>
      <c r="H984" s="691"/>
      <c r="I984" s="691"/>
      <c r="J984" s="694"/>
      <c r="K984" s="691"/>
      <c r="L984" s="691"/>
      <c r="M984" s="691"/>
      <c r="N984" s="691"/>
      <c r="O984" s="579"/>
    </row>
    <row r="985" spans="1:15" ht="13.5" thickBot="1">
      <c r="B985" s="334"/>
      <c r="C985" s="696" t="s">
        <v>295</v>
      </c>
      <c r="D985" s="697"/>
      <c r="E985" s="697"/>
      <c r="F985" s="697"/>
      <c r="G985" s="697"/>
      <c r="H985" s="697"/>
      <c r="I985" s="698"/>
      <c r="J985" s="699"/>
      <c r="K985" s="543"/>
      <c r="L985" s="543"/>
      <c r="M985" s="543"/>
      <c r="N985" s="543"/>
      <c r="O985" s="700"/>
    </row>
    <row r="986" spans="1:15" ht="15">
      <c r="C986" s="702" t="s">
        <v>273</v>
      </c>
      <c r="D986" s="1268">
        <v>267989</v>
      </c>
      <c r="E986" s="658" t="s">
        <v>274</v>
      </c>
      <c r="G986" s="703"/>
      <c r="H986" s="703"/>
      <c r="I986" s="704">
        <v>2018</v>
      </c>
      <c r="J986" s="589"/>
      <c r="K986" s="1435" t="s">
        <v>460</v>
      </c>
      <c r="L986" s="1435"/>
      <c r="M986" s="1435"/>
      <c r="N986" s="1435"/>
      <c r="O986" s="1435"/>
    </row>
    <row r="987" spans="1:15">
      <c r="C987" s="702" t="s">
        <v>276</v>
      </c>
      <c r="D987" s="876">
        <v>2014</v>
      </c>
      <c r="E987" s="702" t="s">
        <v>277</v>
      </c>
      <c r="F987" s="703"/>
      <c r="H987" s="334"/>
      <c r="I987" s="879">
        <f>IF(G980="",0,$F$15)</f>
        <v>0</v>
      </c>
      <c r="J987" s="705"/>
      <c r="K987" s="1258" t="s">
        <v>460</v>
      </c>
    </row>
    <row r="988" spans="1:15">
      <c r="C988" s="702" t="s">
        <v>278</v>
      </c>
      <c r="D988" s="1269">
        <v>1</v>
      </c>
      <c r="E988" s="702" t="s">
        <v>279</v>
      </c>
      <c r="F988" s="703"/>
      <c r="H988" s="334"/>
      <c r="I988" s="706">
        <f>$G$70</f>
        <v>0.10790637951024619</v>
      </c>
      <c r="J988" s="707"/>
      <c r="K988" s="334" t="str">
        <f>"          INPUT PROJECTED ARR (WITH &amp; WITHOUT INCENTIVES) FROM EACH PRIOR YEAR"</f>
        <v xml:space="preserve">          INPUT PROJECTED ARR (WITH &amp; WITHOUT INCENTIVES) FROM EACH PRIOR YEAR</v>
      </c>
    </row>
    <row r="989" spans="1:15">
      <c r="C989" s="702" t="s">
        <v>280</v>
      </c>
      <c r="D989" s="708">
        <f>G$79</f>
        <v>59</v>
      </c>
      <c r="E989" s="702" t="s">
        <v>281</v>
      </c>
      <c r="F989" s="703"/>
      <c r="H989" s="334"/>
      <c r="I989" s="706">
        <f>IF(G980="",I988,$G$67)</f>
        <v>0.10790637951024619</v>
      </c>
      <c r="J989" s="709"/>
      <c r="K989" s="334" t="s">
        <v>358</v>
      </c>
    </row>
    <row r="990" spans="1:15" ht="13.5" thickBot="1">
      <c r="C990" s="702" t="s">
        <v>282</v>
      </c>
      <c r="D990" s="878" t="s">
        <v>995</v>
      </c>
      <c r="E990" s="710" t="s">
        <v>283</v>
      </c>
      <c r="F990" s="711"/>
      <c r="G990" s="712"/>
      <c r="H990" s="712"/>
      <c r="I990" s="1267">
        <f>IF(D986=0,0,D986/D989)</f>
        <v>4542.1864406779659</v>
      </c>
      <c r="J990" s="1258"/>
      <c r="K990" s="1258" t="s">
        <v>364</v>
      </c>
      <c r="L990" s="1258"/>
      <c r="M990" s="1258"/>
      <c r="N990" s="1258"/>
      <c r="O990" s="591"/>
    </row>
    <row r="991" spans="1:15" ht="51">
      <c r="A991" s="530"/>
      <c r="B991" s="530"/>
      <c r="C991" s="713" t="s">
        <v>273</v>
      </c>
      <c r="D991" s="1270" t="s">
        <v>284</v>
      </c>
      <c r="E991" s="1271" t="s">
        <v>285</v>
      </c>
      <c r="F991" s="1270" t="s">
        <v>286</v>
      </c>
      <c r="G991" s="1271" t="s">
        <v>357</v>
      </c>
      <c r="H991" s="1272" t="s">
        <v>357</v>
      </c>
      <c r="I991" s="713" t="s">
        <v>296</v>
      </c>
      <c r="J991" s="717"/>
      <c r="K991" s="1271" t="s">
        <v>366</v>
      </c>
      <c r="L991" s="1273"/>
      <c r="M991" s="1271" t="s">
        <v>366</v>
      </c>
      <c r="N991" s="1273"/>
      <c r="O991" s="1273"/>
    </row>
    <row r="992" spans="1:15" ht="13.5" thickBot="1">
      <c r="B992" s="334"/>
      <c r="C992" s="719" t="s">
        <v>178</v>
      </c>
      <c r="D992" s="720" t="s">
        <v>179</v>
      </c>
      <c r="E992" s="719" t="s">
        <v>37</v>
      </c>
      <c r="F992" s="720" t="s">
        <v>179</v>
      </c>
      <c r="G992" s="1274" t="s">
        <v>299</v>
      </c>
      <c r="H992" s="1275" t="s">
        <v>301</v>
      </c>
      <c r="I992" s="723" t="s">
        <v>390</v>
      </c>
      <c r="J992" s="724"/>
      <c r="K992" s="1274" t="s">
        <v>288</v>
      </c>
      <c r="L992" s="1276"/>
      <c r="M992" s="1274" t="s">
        <v>301</v>
      </c>
      <c r="N992" s="1276"/>
      <c r="O992" s="1276"/>
    </row>
    <row r="993" spans="2:15">
      <c r="B993" s="334"/>
      <c r="C993" s="725">
        <f>IF(D987= "","-",D987)</f>
        <v>2014</v>
      </c>
      <c r="D993" s="676">
        <f>+D986</f>
        <v>267989</v>
      </c>
      <c r="E993" s="1277">
        <f>+I990/12*(12-D988)</f>
        <v>4163.6709039548023</v>
      </c>
      <c r="F993" s="676">
        <f t="shared" ref="F993:F1052" si="60">+D993-E993</f>
        <v>263825.32909604517</v>
      </c>
      <c r="G993" s="1278">
        <f>+$I$988*((D993+F993)/2)+E993</f>
        <v>32856.750316167207</v>
      </c>
      <c r="H993" s="1279">
        <f>+$I$989*((D993+F993)/2)+E993</f>
        <v>32856.750316167207</v>
      </c>
      <c r="I993" s="729">
        <f t="shared" ref="I993:I1052" si="61">+H993-G993</f>
        <v>0</v>
      </c>
      <c r="J993" s="729"/>
      <c r="K993" s="880"/>
      <c r="L993" s="731"/>
      <c r="M993" s="880"/>
      <c r="N993" s="731"/>
      <c r="O993" s="731"/>
    </row>
    <row r="994" spans="2:15">
      <c r="B994" s="334"/>
      <c r="C994" s="725">
        <f>IF(D987="","-",+C993+1)</f>
        <v>2015</v>
      </c>
      <c r="D994" s="676">
        <f t="shared" ref="D994:D1052" si="62">F993</f>
        <v>263825.32909604517</v>
      </c>
      <c r="E994" s="732">
        <f>IF(D994&gt;$I$990,$I$990,D994)</f>
        <v>4542.1864406779659</v>
      </c>
      <c r="F994" s="676">
        <f t="shared" si="60"/>
        <v>259283.14265536721</v>
      </c>
      <c r="G994" s="1277">
        <f t="shared" ref="G994:G1052" si="63">+$I$988*((D994+F994)/2)+E994</f>
        <v>32765.557079594364</v>
      </c>
      <c r="H994" s="1280">
        <f t="shared" ref="H994:H1052" si="64">+$I$989*((D994+F994)/2)+E994</f>
        <v>32765.557079594364</v>
      </c>
      <c r="I994" s="729">
        <f t="shared" si="61"/>
        <v>0</v>
      </c>
      <c r="J994" s="729"/>
      <c r="K994" s="881"/>
      <c r="L994" s="735"/>
      <c r="M994" s="881"/>
      <c r="N994" s="735"/>
      <c r="O994" s="735"/>
    </row>
    <row r="995" spans="2:15">
      <c r="B995" s="334"/>
      <c r="C995" s="725">
        <f>IF(D987="","-",+C994+1)</f>
        <v>2016</v>
      </c>
      <c r="D995" s="676">
        <f t="shared" si="62"/>
        <v>259283.14265536721</v>
      </c>
      <c r="E995" s="732">
        <f t="shared" ref="E995:E1052" si="65">IF(D995&gt;$I$990,$I$990,D995)</f>
        <v>4542.1864406779659</v>
      </c>
      <c r="F995" s="676">
        <f t="shared" si="60"/>
        <v>254740.95621468924</v>
      </c>
      <c r="G995" s="1277">
        <f t="shared" si="63"/>
        <v>32275.426185720273</v>
      </c>
      <c r="H995" s="1280">
        <f t="shared" si="64"/>
        <v>32275.426185720273</v>
      </c>
      <c r="I995" s="729">
        <f t="shared" si="61"/>
        <v>0</v>
      </c>
      <c r="J995" s="729"/>
      <c r="K995" s="1302"/>
      <c r="L995" s="1290"/>
      <c r="M995" s="1302"/>
      <c r="N995" s="735"/>
      <c r="O995" s="735"/>
    </row>
    <row r="996" spans="2:15">
      <c r="B996" s="334"/>
      <c r="C996" s="725">
        <f>IF(D987="","-",+C995+1)</f>
        <v>2017</v>
      </c>
      <c r="D996" s="676">
        <f t="shared" si="62"/>
        <v>254740.95621468924</v>
      </c>
      <c r="E996" s="732">
        <f t="shared" si="65"/>
        <v>4542.1864406779659</v>
      </c>
      <c r="F996" s="676">
        <f t="shared" si="60"/>
        <v>250198.76977401128</v>
      </c>
      <c r="G996" s="1277">
        <f t="shared" si="63"/>
        <v>31785.295291846189</v>
      </c>
      <c r="H996" s="1280">
        <f t="shared" si="64"/>
        <v>31785.295291846189</v>
      </c>
      <c r="I996" s="729">
        <f t="shared" si="61"/>
        <v>0</v>
      </c>
      <c r="J996" s="729"/>
      <c r="K996" s="881"/>
      <c r="L996" s="735"/>
      <c r="M996" s="881"/>
      <c r="N996" s="735"/>
      <c r="O996" s="735"/>
    </row>
    <row r="997" spans="2:15">
      <c r="B997" s="334"/>
      <c r="C997" s="1281">
        <f>IF(D987="","-",+C996+1)</f>
        <v>2018</v>
      </c>
      <c r="D997" s="676">
        <f t="shared" si="62"/>
        <v>250198.76977401128</v>
      </c>
      <c r="E997" s="732">
        <f t="shared" si="65"/>
        <v>4542.1864406779659</v>
      </c>
      <c r="F997" s="676">
        <f t="shared" si="60"/>
        <v>245656.58333333331</v>
      </c>
      <c r="G997" s="1277">
        <f t="shared" si="63"/>
        <v>31295.164397972098</v>
      </c>
      <c r="H997" s="1280">
        <f t="shared" si="64"/>
        <v>31295.164397972098</v>
      </c>
      <c r="I997" s="729">
        <f t="shared" si="61"/>
        <v>0</v>
      </c>
      <c r="J997" s="729"/>
      <c r="K997" s="881"/>
      <c r="L997" s="735"/>
      <c r="M997" s="881"/>
      <c r="N997" s="735"/>
      <c r="O997" s="735"/>
    </row>
    <row r="998" spans="2:15">
      <c r="B998" s="334"/>
      <c r="C998" s="725">
        <f>IF(D987="","-",+C997+1)</f>
        <v>2019</v>
      </c>
      <c r="D998" s="676">
        <f t="shared" si="62"/>
        <v>245656.58333333331</v>
      </c>
      <c r="E998" s="732">
        <f t="shared" si="65"/>
        <v>4542.1864406779659</v>
      </c>
      <c r="F998" s="676">
        <f t="shared" si="60"/>
        <v>241114.39689265535</v>
      </c>
      <c r="G998" s="1277">
        <f t="shared" si="63"/>
        <v>30805.033504098006</v>
      </c>
      <c r="H998" s="1280">
        <f t="shared" si="64"/>
        <v>30805.033504098006</v>
      </c>
      <c r="I998" s="729">
        <f t="shared" si="61"/>
        <v>0</v>
      </c>
      <c r="J998" s="729"/>
      <c r="K998" s="881"/>
      <c r="L998" s="735"/>
      <c r="M998" s="881"/>
      <c r="N998" s="735"/>
      <c r="O998" s="735"/>
    </row>
    <row r="999" spans="2:15">
      <c r="B999" s="334"/>
      <c r="C999" s="725">
        <f>IF(D987="","-",+C998+1)</f>
        <v>2020</v>
      </c>
      <c r="D999" s="676">
        <f t="shared" si="62"/>
        <v>241114.39689265535</v>
      </c>
      <c r="E999" s="732">
        <f t="shared" si="65"/>
        <v>4542.1864406779659</v>
      </c>
      <c r="F999" s="676">
        <f t="shared" si="60"/>
        <v>236572.21045197739</v>
      </c>
      <c r="G999" s="1277">
        <f t="shared" si="63"/>
        <v>30314.902610223915</v>
      </c>
      <c r="H999" s="1280">
        <f t="shared" si="64"/>
        <v>30314.902610223915</v>
      </c>
      <c r="I999" s="729">
        <f t="shared" si="61"/>
        <v>0</v>
      </c>
      <c r="J999" s="729"/>
      <c r="K999" s="881">
        <v>35555</v>
      </c>
      <c r="L999" s="735"/>
      <c r="M999" s="881">
        <v>35555</v>
      </c>
      <c r="N999" s="735"/>
      <c r="O999" s="735"/>
    </row>
    <row r="1000" spans="2:15">
      <c r="B1000" s="334"/>
      <c r="C1000" s="1305">
        <f>IF(D987="","-",+C999+1)</f>
        <v>2021</v>
      </c>
      <c r="D1000" s="1282">
        <f t="shared" si="62"/>
        <v>236572.21045197739</v>
      </c>
      <c r="E1000" s="1283">
        <f t="shared" si="65"/>
        <v>4542.1864406779659</v>
      </c>
      <c r="F1000" s="1282">
        <f t="shared" si="60"/>
        <v>232030.02401129942</v>
      </c>
      <c r="G1000" s="1284">
        <f t="shared" si="63"/>
        <v>29824.771716349824</v>
      </c>
      <c r="H1000" s="1285">
        <f t="shared" si="64"/>
        <v>29824.771716349824</v>
      </c>
      <c r="I1000" s="1291">
        <f t="shared" si="61"/>
        <v>0</v>
      </c>
      <c r="J1000" s="729"/>
      <c r="K1000" s="881"/>
      <c r="L1000" s="735"/>
      <c r="M1000" s="881"/>
      <c r="N1000" s="735"/>
      <c r="O1000" s="735"/>
    </row>
    <row r="1001" spans="2:15">
      <c r="B1001" s="334"/>
      <c r="C1001" s="725">
        <f>IF(D987="","-",+C1000+1)</f>
        <v>2022</v>
      </c>
      <c r="D1001" s="676">
        <f t="shared" si="62"/>
        <v>232030.02401129942</v>
      </c>
      <c r="E1001" s="732">
        <f t="shared" si="65"/>
        <v>4542.1864406779659</v>
      </c>
      <c r="F1001" s="676">
        <f t="shared" si="60"/>
        <v>227487.83757062146</v>
      </c>
      <c r="G1001" s="1277">
        <f t="shared" si="63"/>
        <v>29334.640822475732</v>
      </c>
      <c r="H1001" s="1280">
        <f t="shared" si="64"/>
        <v>29334.640822475732</v>
      </c>
      <c r="I1001" s="729">
        <f t="shared" si="61"/>
        <v>0</v>
      </c>
      <c r="J1001" s="729"/>
      <c r="K1001" s="881"/>
      <c r="L1001" s="735"/>
      <c r="M1001" s="881"/>
      <c r="N1001" s="735"/>
      <c r="O1001" s="735"/>
    </row>
    <row r="1002" spans="2:15">
      <c r="B1002" s="334"/>
      <c r="C1002" s="725">
        <f>IF(D987="","-",+C1001+1)</f>
        <v>2023</v>
      </c>
      <c r="D1002" s="676">
        <f t="shared" si="62"/>
        <v>227487.83757062146</v>
      </c>
      <c r="E1002" s="732">
        <f t="shared" si="65"/>
        <v>4542.1864406779659</v>
      </c>
      <c r="F1002" s="676">
        <f t="shared" si="60"/>
        <v>222945.65112994349</v>
      </c>
      <c r="G1002" s="1277">
        <f t="shared" si="63"/>
        <v>28844.509928601641</v>
      </c>
      <c r="H1002" s="1280">
        <f t="shared" si="64"/>
        <v>28844.509928601641</v>
      </c>
      <c r="I1002" s="729">
        <f t="shared" si="61"/>
        <v>0</v>
      </c>
      <c r="J1002" s="729"/>
      <c r="K1002" s="881"/>
      <c r="L1002" s="735"/>
      <c r="M1002" s="881"/>
      <c r="N1002" s="735"/>
      <c r="O1002" s="735"/>
    </row>
    <row r="1003" spans="2:15">
      <c r="B1003" s="334"/>
      <c r="C1003" s="725">
        <f>IF(D987="","-",+C1002+1)</f>
        <v>2024</v>
      </c>
      <c r="D1003" s="676">
        <f t="shared" si="62"/>
        <v>222945.65112994349</v>
      </c>
      <c r="E1003" s="732">
        <f t="shared" si="65"/>
        <v>4542.1864406779659</v>
      </c>
      <c r="F1003" s="676">
        <f t="shared" si="60"/>
        <v>218403.46468926553</v>
      </c>
      <c r="G1003" s="1277">
        <f t="shared" si="63"/>
        <v>28354.37903472755</v>
      </c>
      <c r="H1003" s="1280">
        <f t="shared" si="64"/>
        <v>28354.37903472755</v>
      </c>
      <c r="I1003" s="729">
        <f t="shared" si="61"/>
        <v>0</v>
      </c>
      <c r="J1003" s="729"/>
      <c r="K1003" s="881"/>
      <c r="L1003" s="735"/>
      <c r="M1003" s="881"/>
      <c r="N1003" s="735"/>
      <c r="O1003" s="735"/>
    </row>
    <row r="1004" spans="2:15">
      <c r="B1004" s="334"/>
      <c r="C1004" s="725">
        <f>IF(D987="","-",+C1003+1)</f>
        <v>2025</v>
      </c>
      <c r="D1004" s="676">
        <f t="shared" si="62"/>
        <v>218403.46468926553</v>
      </c>
      <c r="E1004" s="732">
        <f t="shared" si="65"/>
        <v>4542.1864406779659</v>
      </c>
      <c r="F1004" s="676">
        <f t="shared" si="60"/>
        <v>213861.27824858757</v>
      </c>
      <c r="G1004" s="1277">
        <f t="shared" si="63"/>
        <v>27864.248140853459</v>
      </c>
      <c r="H1004" s="1280">
        <f t="shared" si="64"/>
        <v>27864.248140853459</v>
      </c>
      <c r="I1004" s="729">
        <f t="shared" si="61"/>
        <v>0</v>
      </c>
      <c r="J1004" s="729"/>
      <c r="K1004" s="881"/>
      <c r="L1004" s="735"/>
      <c r="M1004" s="881"/>
      <c r="N1004" s="735"/>
      <c r="O1004" s="735"/>
    </row>
    <row r="1005" spans="2:15">
      <c r="B1005" s="334"/>
      <c r="C1005" s="725">
        <f>IF(D987="","-",+C1004+1)</f>
        <v>2026</v>
      </c>
      <c r="D1005" s="676">
        <f t="shared" si="62"/>
        <v>213861.27824858757</v>
      </c>
      <c r="E1005" s="732">
        <f t="shared" si="65"/>
        <v>4542.1864406779659</v>
      </c>
      <c r="F1005" s="676">
        <f t="shared" si="60"/>
        <v>209319.0918079096</v>
      </c>
      <c r="G1005" s="1277">
        <f t="shared" si="63"/>
        <v>27374.117246979367</v>
      </c>
      <c r="H1005" s="1280">
        <f t="shared" si="64"/>
        <v>27374.117246979367</v>
      </c>
      <c r="I1005" s="729">
        <f t="shared" si="61"/>
        <v>0</v>
      </c>
      <c r="J1005" s="729"/>
      <c r="K1005" s="881"/>
      <c r="L1005" s="735"/>
      <c r="M1005" s="881"/>
      <c r="N1005" s="736"/>
      <c r="O1005" s="735"/>
    </row>
    <row r="1006" spans="2:15">
      <c r="B1006" s="334"/>
      <c r="C1006" s="725">
        <f>IF(D987="","-",+C1005+1)</f>
        <v>2027</v>
      </c>
      <c r="D1006" s="676">
        <f t="shared" si="62"/>
        <v>209319.0918079096</v>
      </c>
      <c r="E1006" s="732">
        <f t="shared" si="65"/>
        <v>4542.1864406779659</v>
      </c>
      <c r="F1006" s="676">
        <f t="shared" si="60"/>
        <v>204776.90536723164</v>
      </c>
      <c r="G1006" s="1277">
        <f t="shared" si="63"/>
        <v>26883.986353105276</v>
      </c>
      <c r="H1006" s="1280">
        <f t="shared" si="64"/>
        <v>26883.986353105276</v>
      </c>
      <c r="I1006" s="729">
        <f t="shared" si="61"/>
        <v>0</v>
      </c>
      <c r="J1006" s="729"/>
      <c r="K1006" s="881"/>
      <c r="L1006" s="735"/>
      <c r="M1006" s="881"/>
      <c r="N1006" s="735"/>
      <c r="O1006" s="735"/>
    </row>
    <row r="1007" spans="2:15">
      <c r="B1007" s="334"/>
      <c r="C1007" s="725">
        <f>IF(D987="","-",+C1006+1)</f>
        <v>2028</v>
      </c>
      <c r="D1007" s="676">
        <f t="shared" si="62"/>
        <v>204776.90536723164</v>
      </c>
      <c r="E1007" s="732">
        <f t="shared" si="65"/>
        <v>4542.1864406779659</v>
      </c>
      <c r="F1007" s="676">
        <f t="shared" si="60"/>
        <v>200234.71892655367</v>
      </c>
      <c r="G1007" s="1277">
        <f t="shared" si="63"/>
        <v>26393.855459231185</v>
      </c>
      <c r="H1007" s="1280">
        <f t="shared" si="64"/>
        <v>26393.855459231185</v>
      </c>
      <c r="I1007" s="729">
        <f t="shared" si="61"/>
        <v>0</v>
      </c>
      <c r="J1007" s="729"/>
      <c r="K1007" s="881"/>
      <c r="L1007" s="735"/>
      <c r="M1007" s="881"/>
      <c r="N1007" s="735"/>
      <c r="O1007" s="735"/>
    </row>
    <row r="1008" spans="2:15">
      <c r="B1008" s="334"/>
      <c r="C1008" s="725">
        <f>IF(D987="","-",+C1007+1)</f>
        <v>2029</v>
      </c>
      <c r="D1008" s="676">
        <f t="shared" si="62"/>
        <v>200234.71892655367</v>
      </c>
      <c r="E1008" s="732">
        <f t="shared" si="65"/>
        <v>4542.1864406779659</v>
      </c>
      <c r="F1008" s="676">
        <f t="shared" si="60"/>
        <v>195692.53248587571</v>
      </c>
      <c r="G1008" s="1277">
        <f t="shared" si="63"/>
        <v>25903.724565357094</v>
      </c>
      <c r="H1008" s="1280">
        <f t="shared" si="64"/>
        <v>25903.724565357094</v>
      </c>
      <c r="I1008" s="729">
        <f t="shared" si="61"/>
        <v>0</v>
      </c>
      <c r="J1008" s="729"/>
      <c r="K1008" s="881"/>
      <c r="L1008" s="735"/>
      <c r="M1008" s="881"/>
      <c r="N1008" s="735"/>
      <c r="O1008" s="735"/>
    </row>
    <row r="1009" spans="2:15">
      <c r="B1009" s="334"/>
      <c r="C1009" s="725">
        <f>IF(D987="","-",+C1008+1)</f>
        <v>2030</v>
      </c>
      <c r="D1009" s="676">
        <f t="shared" si="62"/>
        <v>195692.53248587571</v>
      </c>
      <c r="E1009" s="732">
        <f t="shared" si="65"/>
        <v>4542.1864406779659</v>
      </c>
      <c r="F1009" s="676">
        <f t="shared" si="60"/>
        <v>191150.34604519774</v>
      </c>
      <c r="G1009" s="1277">
        <f t="shared" si="63"/>
        <v>25413.593671483002</v>
      </c>
      <c r="H1009" s="1280">
        <f t="shared" si="64"/>
        <v>25413.593671483002</v>
      </c>
      <c r="I1009" s="729">
        <f t="shared" si="61"/>
        <v>0</v>
      </c>
      <c r="J1009" s="729"/>
      <c r="K1009" s="881"/>
      <c r="L1009" s="735"/>
      <c r="M1009" s="881"/>
      <c r="N1009" s="735"/>
      <c r="O1009" s="735"/>
    </row>
    <row r="1010" spans="2:15">
      <c r="B1010" s="334"/>
      <c r="C1010" s="725">
        <f>IF(D987="","-",+C1009+1)</f>
        <v>2031</v>
      </c>
      <c r="D1010" s="676">
        <f t="shared" si="62"/>
        <v>191150.34604519774</v>
      </c>
      <c r="E1010" s="732">
        <f t="shared" si="65"/>
        <v>4542.1864406779659</v>
      </c>
      <c r="F1010" s="676">
        <f t="shared" si="60"/>
        <v>186608.15960451978</v>
      </c>
      <c r="G1010" s="1277">
        <f t="shared" si="63"/>
        <v>24923.462777608918</v>
      </c>
      <c r="H1010" s="1280">
        <f t="shared" si="64"/>
        <v>24923.462777608918</v>
      </c>
      <c r="I1010" s="729">
        <f t="shared" si="61"/>
        <v>0</v>
      </c>
      <c r="J1010" s="729"/>
      <c r="K1010" s="881"/>
      <c r="L1010" s="735"/>
      <c r="M1010" s="881"/>
      <c r="N1010" s="735"/>
      <c r="O1010" s="735"/>
    </row>
    <row r="1011" spans="2:15">
      <c r="B1011" s="334"/>
      <c r="C1011" s="725">
        <f>IF(D987="","-",+C1010+1)</f>
        <v>2032</v>
      </c>
      <c r="D1011" s="676">
        <f t="shared" si="62"/>
        <v>186608.15960451978</v>
      </c>
      <c r="E1011" s="732">
        <f t="shared" si="65"/>
        <v>4542.1864406779659</v>
      </c>
      <c r="F1011" s="676">
        <f t="shared" si="60"/>
        <v>182065.97316384182</v>
      </c>
      <c r="G1011" s="1277">
        <f t="shared" si="63"/>
        <v>24433.331883734827</v>
      </c>
      <c r="H1011" s="1280">
        <f t="shared" si="64"/>
        <v>24433.331883734827</v>
      </c>
      <c r="I1011" s="729">
        <f t="shared" si="61"/>
        <v>0</v>
      </c>
      <c r="J1011" s="729"/>
      <c r="K1011" s="881"/>
      <c r="L1011" s="735"/>
      <c r="M1011" s="881"/>
      <c r="N1011" s="735"/>
      <c r="O1011" s="735"/>
    </row>
    <row r="1012" spans="2:15">
      <c r="B1012" s="334"/>
      <c r="C1012" s="725">
        <f>IF(D987="","-",+C1011+1)</f>
        <v>2033</v>
      </c>
      <c r="D1012" s="676">
        <f t="shared" si="62"/>
        <v>182065.97316384182</v>
      </c>
      <c r="E1012" s="732">
        <f t="shared" si="65"/>
        <v>4542.1864406779659</v>
      </c>
      <c r="F1012" s="676">
        <f t="shared" si="60"/>
        <v>177523.78672316385</v>
      </c>
      <c r="G1012" s="1277">
        <f t="shared" si="63"/>
        <v>23943.200989860736</v>
      </c>
      <c r="H1012" s="1280">
        <f t="shared" si="64"/>
        <v>23943.200989860736</v>
      </c>
      <c r="I1012" s="729">
        <f t="shared" si="61"/>
        <v>0</v>
      </c>
      <c r="J1012" s="729"/>
      <c r="K1012" s="881"/>
      <c r="L1012" s="735"/>
      <c r="M1012" s="881"/>
      <c r="N1012" s="735"/>
      <c r="O1012" s="735"/>
    </row>
    <row r="1013" spans="2:15">
      <c r="B1013" s="334"/>
      <c r="C1013" s="725">
        <f>IF(D987="","-",+C1012+1)</f>
        <v>2034</v>
      </c>
      <c r="D1013" s="676">
        <f t="shared" si="62"/>
        <v>177523.78672316385</v>
      </c>
      <c r="E1013" s="732">
        <f t="shared" si="65"/>
        <v>4542.1864406779659</v>
      </c>
      <c r="F1013" s="676">
        <f t="shared" si="60"/>
        <v>172981.60028248589</v>
      </c>
      <c r="G1013" s="1277">
        <f t="shared" si="63"/>
        <v>23453.070095986644</v>
      </c>
      <c r="H1013" s="1280">
        <f t="shared" si="64"/>
        <v>23453.070095986644</v>
      </c>
      <c r="I1013" s="729">
        <f t="shared" si="61"/>
        <v>0</v>
      </c>
      <c r="J1013" s="729"/>
      <c r="K1013" s="881"/>
      <c r="L1013" s="735"/>
      <c r="M1013" s="881"/>
      <c r="N1013" s="735"/>
      <c r="O1013" s="735"/>
    </row>
    <row r="1014" spans="2:15">
      <c r="B1014" s="334"/>
      <c r="C1014" s="725">
        <f>IF(D987="","-",+C1013+1)</f>
        <v>2035</v>
      </c>
      <c r="D1014" s="676">
        <f t="shared" si="62"/>
        <v>172981.60028248589</v>
      </c>
      <c r="E1014" s="732">
        <f t="shared" si="65"/>
        <v>4542.1864406779659</v>
      </c>
      <c r="F1014" s="676">
        <f t="shared" si="60"/>
        <v>168439.41384180792</v>
      </c>
      <c r="G1014" s="1277">
        <f t="shared" si="63"/>
        <v>22962.939202112553</v>
      </c>
      <c r="H1014" s="1280">
        <f t="shared" si="64"/>
        <v>22962.939202112553</v>
      </c>
      <c r="I1014" s="729">
        <f t="shared" si="61"/>
        <v>0</v>
      </c>
      <c r="J1014" s="729"/>
      <c r="K1014" s="881"/>
      <c r="L1014" s="735"/>
      <c r="M1014" s="881"/>
      <c r="N1014" s="735"/>
      <c r="O1014" s="735"/>
    </row>
    <row r="1015" spans="2:15">
      <c r="B1015" s="334"/>
      <c r="C1015" s="725">
        <f>IF(D987="","-",+C1014+1)</f>
        <v>2036</v>
      </c>
      <c r="D1015" s="676">
        <f t="shared" si="62"/>
        <v>168439.41384180792</v>
      </c>
      <c r="E1015" s="732">
        <f t="shared" si="65"/>
        <v>4542.1864406779659</v>
      </c>
      <c r="F1015" s="676">
        <f t="shared" si="60"/>
        <v>163897.22740112996</v>
      </c>
      <c r="G1015" s="1277">
        <f t="shared" si="63"/>
        <v>22472.808308238462</v>
      </c>
      <c r="H1015" s="1280">
        <f t="shared" si="64"/>
        <v>22472.808308238462</v>
      </c>
      <c r="I1015" s="729">
        <f t="shared" si="61"/>
        <v>0</v>
      </c>
      <c r="J1015" s="729"/>
      <c r="K1015" s="881"/>
      <c r="L1015" s="735"/>
      <c r="M1015" s="881"/>
      <c r="N1015" s="735"/>
      <c r="O1015" s="735"/>
    </row>
    <row r="1016" spans="2:15">
      <c r="B1016" s="334"/>
      <c r="C1016" s="725">
        <f>IF(D987="","-",+C1015+1)</f>
        <v>2037</v>
      </c>
      <c r="D1016" s="676">
        <f t="shared" si="62"/>
        <v>163897.22740112996</v>
      </c>
      <c r="E1016" s="732">
        <f t="shared" si="65"/>
        <v>4542.1864406779659</v>
      </c>
      <c r="F1016" s="676">
        <f t="shared" si="60"/>
        <v>159355.040960452</v>
      </c>
      <c r="G1016" s="1277">
        <f t="shared" si="63"/>
        <v>21982.677414364371</v>
      </c>
      <c r="H1016" s="1280">
        <f t="shared" si="64"/>
        <v>21982.677414364371</v>
      </c>
      <c r="I1016" s="729">
        <f t="shared" si="61"/>
        <v>0</v>
      </c>
      <c r="J1016" s="729"/>
      <c r="K1016" s="881"/>
      <c r="L1016" s="735"/>
      <c r="M1016" s="881"/>
      <c r="N1016" s="735"/>
      <c r="O1016" s="735"/>
    </row>
    <row r="1017" spans="2:15">
      <c r="B1017" s="334"/>
      <c r="C1017" s="725">
        <f>IF(D987="","-",+C1016+1)</f>
        <v>2038</v>
      </c>
      <c r="D1017" s="676">
        <f t="shared" si="62"/>
        <v>159355.040960452</v>
      </c>
      <c r="E1017" s="732">
        <f t="shared" si="65"/>
        <v>4542.1864406779659</v>
      </c>
      <c r="F1017" s="676">
        <f t="shared" si="60"/>
        <v>154812.85451977403</v>
      </c>
      <c r="G1017" s="1277">
        <f t="shared" si="63"/>
        <v>21492.546520490279</v>
      </c>
      <c r="H1017" s="1280">
        <f t="shared" si="64"/>
        <v>21492.546520490279</v>
      </c>
      <c r="I1017" s="729">
        <f t="shared" si="61"/>
        <v>0</v>
      </c>
      <c r="J1017" s="729"/>
      <c r="K1017" s="881"/>
      <c r="L1017" s="735"/>
      <c r="M1017" s="881"/>
      <c r="N1017" s="735"/>
      <c r="O1017" s="735"/>
    </row>
    <row r="1018" spans="2:15">
      <c r="B1018" s="334"/>
      <c r="C1018" s="725">
        <f>IF(D987="","-",+C1017+1)</f>
        <v>2039</v>
      </c>
      <c r="D1018" s="676">
        <f t="shared" si="62"/>
        <v>154812.85451977403</v>
      </c>
      <c r="E1018" s="732">
        <f t="shared" si="65"/>
        <v>4542.1864406779659</v>
      </c>
      <c r="F1018" s="676">
        <f t="shared" si="60"/>
        <v>150270.66807909607</v>
      </c>
      <c r="G1018" s="1277">
        <f t="shared" si="63"/>
        <v>21002.415626616188</v>
      </c>
      <c r="H1018" s="1280">
        <f t="shared" si="64"/>
        <v>21002.415626616188</v>
      </c>
      <c r="I1018" s="729">
        <f t="shared" si="61"/>
        <v>0</v>
      </c>
      <c r="J1018" s="729"/>
      <c r="K1018" s="881"/>
      <c r="L1018" s="735"/>
      <c r="M1018" s="881"/>
      <c r="N1018" s="735"/>
      <c r="O1018" s="735"/>
    </row>
    <row r="1019" spans="2:15">
      <c r="B1019" s="334"/>
      <c r="C1019" s="725">
        <f>IF(D987="","-",+C1018+1)</f>
        <v>2040</v>
      </c>
      <c r="D1019" s="676">
        <f t="shared" si="62"/>
        <v>150270.66807909607</v>
      </c>
      <c r="E1019" s="732">
        <f t="shared" si="65"/>
        <v>4542.1864406779659</v>
      </c>
      <c r="F1019" s="676">
        <f t="shared" si="60"/>
        <v>145728.4816384181</v>
      </c>
      <c r="G1019" s="1277">
        <f t="shared" si="63"/>
        <v>20512.284732742097</v>
      </c>
      <c r="H1019" s="1280">
        <f t="shared" si="64"/>
        <v>20512.284732742097</v>
      </c>
      <c r="I1019" s="729">
        <f t="shared" si="61"/>
        <v>0</v>
      </c>
      <c r="J1019" s="729"/>
      <c r="K1019" s="881"/>
      <c r="L1019" s="735"/>
      <c r="M1019" s="881"/>
      <c r="N1019" s="735"/>
      <c r="O1019" s="735"/>
    </row>
    <row r="1020" spans="2:15">
      <c r="B1020" s="334"/>
      <c r="C1020" s="725">
        <f>IF(D987="","-",+C1019+1)</f>
        <v>2041</v>
      </c>
      <c r="D1020" s="676">
        <f t="shared" si="62"/>
        <v>145728.4816384181</v>
      </c>
      <c r="E1020" s="732">
        <f t="shared" si="65"/>
        <v>4542.1864406779659</v>
      </c>
      <c r="F1020" s="676">
        <f t="shared" si="60"/>
        <v>141186.29519774014</v>
      </c>
      <c r="G1020" s="1277">
        <f t="shared" si="63"/>
        <v>20022.153838868006</v>
      </c>
      <c r="H1020" s="1280">
        <f t="shared" si="64"/>
        <v>20022.153838868006</v>
      </c>
      <c r="I1020" s="729">
        <f t="shared" si="61"/>
        <v>0</v>
      </c>
      <c r="J1020" s="729"/>
      <c r="K1020" s="881"/>
      <c r="L1020" s="735"/>
      <c r="M1020" s="881"/>
      <c r="N1020" s="735"/>
      <c r="O1020" s="735"/>
    </row>
    <row r="1021" spans="2:15">
      <c r="B1021" s="334"/>
      <c r="C1021" s="725">
        <f>IF(D987="","-",+C1020+1)</f>
        <v>2042</v>
      </c>
      <c r="D1021" s="676">
        <f t="shared" si="62"/>
        <v>141186.29519774014</v>
      </c>
      <c r="E1021" s="732">
        <f t="shared" si="65"/>
        <v>4542.1864406779659</v>
      </c>
      <c r="F1021" s="676">
        <f t="shared" si="60"/>
        <v>136644.10875706217</v>
      </c>
      <c r="G1021" s="1286">
        <f t="shared" si="63"/>
        <v>19532.022944993918</v>
      </c>
      <c r="H1021" s="1280">
        <f t="shared" si="64"/>
        <v>19532.022944993918</v>
      </c>
      <c r="I1021" s="729">
        <f t="shared" si="61"/>
        <v>0</v>
      </c>
      <c r="J1021" s="729"/>
      <c r="K1021" s="881"/>
      <c r="L1021" s="735"/>
      <c r="M1021" s="881"/>
      <c r="N1021" s="735"/>
      <c r="O1021" s="735"/>
    </row>
    <row r="1022" spans="2:15">
      <c r="B1022" s="334"/>
      <c r="C1022" s="725">
        <f>IF(D987="","-",+C1021+1)</f>
        <v>2043</v>
      </c>
      <c r="D1022" s="676">
        <f t="shared" si="62"/>
        <v>136644.10875706217</v>
      </c>
      <c r="E1022" s="732">
        <f t="shared" si="65"/>
        <v>4542.1864406779659</v>
      </c>
      <c r="F1022" s="676">
        <f t="shared" si="60"/>
        <v>132101.92231638421</v>
      </c>
      <c r="G1022" s="1277">
        <f t="shared" si="63"/>
        <v>19041.892051119827</v>
      </c>
      <c r="H1022" s="1280">
        <f t="shared" si="64"/>
        <v>19041.892051119827</v>
      </c>
      <c r="I1022" s="729">
        <f t="shared" si="61"/>
        <v>0</v>
      </c>
      <c r="J1022" s="729"/>
      <c r="K1022" s="881"/>
      <c r="L1022" s="735"/>
      <c r="M1022" s="881"/>
      <c r="N1022" s="735"/>
      <c r="O1022" s="735"/>
    </row>
    <row r="1023" spans="2:15">
      <c r="B1023" s="334"/>
      <c r="C1023" s="725">
        <f>IF(D987="","-",+C1022+1)</f>
        <v>2044</v>
      </c>
      <c r="D1023" s="676">
        <f t="shared" si="62"/>
        <v>132101.92231638421</v>
      </c>
      <c r="E1023" s="732">
        <f t="shared" si="65"/>
        <v>4542.1864406779659</v>
      </c>
      <c r="F1023" s="676">
        <f t="shared" si="60"/>
        <v>127559.73587570625</v>
      </c>
      <c r="G1023" s="1277">
        <f t="shared" si="63"/>
        <v>18551.761157245735</v>
      </c>
      <c r="H1023" s="1280">
        <f t="shared" si="64"/>
        <v>18551.761157245735</v>
      </c>
      <c r="I1023" s="729">
        <f t="shared" si="61"/>
        <v>0</v>
      </c>
      <c r="J1023" s="729"/>
      <c r="K1023" s="881"/>
      <c r="L1023" s="735"/>
      <c r="M1023" s="881"/>
      <c r="N1023" s="735"/>
      <c r="O1023" s="735"/>
    </row>
    <row r="1024" spans="2:15">
      <c r="B1024" s="334"/>
      <c r="C1024" s="725">
        <f>IF(D987="","-",+C1023+1)</f>
        <v>2045</v>
      </c>
      <c r="D1024" s="676">
        <f t="shared" si="62"/>
        <v>127559.73587570625</v>
      </c>
      <c r="E1024" s="732">
        <f t="shared" si="65"/>
        <v>4542.1864406779659</v>
      </c>
      <c r="F1024" s="676">
        <f t="shared" si="60"/>
        <v>123017.54943502828</v>
      </c>
      <c r="G1024" s="1277">
        <f t="shared" si="63"/>
        <v>18061.630263371644</v>
      </c>
      <c r="H1024" s="1280">
        <f t="shared" si="64"/>
        <v>18061.630263371644</v>
      </c>
      <c r="I1024" s="729">
        <f t="shared" si="61"/>
        <v>0</v>
      </c>
      <c r="J1024" s="729"/>
      <c r="K1024" s="881"/>
      <c r="L1024" s="735"/>
      <c r="M1024" s="881"/>
      <c r="N1024" s="735"/>
      <c r="O1024" s="735"/>
    </row>
    <row r="1025" spans="2:15">
      <c r="B1025" s="334"/>
      <c r="C1025" s="725">
        <f>IF(D987="","-",+C1024+1)</f>
        <v>2046</v>
      </c>
      <c r="D1025" s="676">
        <f t="shared" si="62"/>
        <v>123017.54943502828</v>
      </c>
      <c r="E1025" s="732">
        <f t="shared" si="65"/>
        <v>4542.1864406779659</v>
      </c>
      <c r="F1025" s="676">
        <f t="shared" si="60"/>
        <v>118475.36299435032</v>
      </c>
      <c r="G1025" s="1277">
        <f t="shared" si="63"/>
        <v>17571.499369497556</v>
      </c>
      <c r="H1025" s="1280">
        <f t="shared" si="64"/>
        <v>17571.499369497556</v>
      </c>
      <c r="I1025" s="729">
        <f t="shared" si="61"/>
        <v>0</v>
      </c>
      <c r="J1025" s="729"/>
      <c r="K1025" s="881"/>
      <c r="L1025" s="735"/>
      <c r="M1025" s="881"/>
      <c r="N1025" s="735"/>
      <c r="O1025" s="735"/>
    </row>
    <row r="1026" spans="2:15">
      <c r="B1026" s="334"/>
      <c r="C1026" s="725">
        <f>IF(D987="","-",+C1025+1)</f>
        <v>2047</v>
      </c>
      <c r="D1026" s="676">
        <f t="shared" si="62"/>
        <v>118475.36299435032</v>
      </c>
      <c r="E1026" s="732">
        <f t="shared" si="65"/>
        <v>4542.1864406779659</v>
      </c>
      <c r="F1026" s="676">
        <f t="shared" si="60"/>
        <v>113933.17655367235</v>
      </c>
      <c r="G1026" s="1277">
        <f t="shared" si="63"/>
        <v>17081.368475623465</v>
      </c>
      <c r="H1026" s="1280">
        <f t="shared" si="64"/>
        <v>17081.368475623465</v>
      </c>
      <c r="I1026" s="729">
        <f t="shared" si="61"/>
        <v>0</v>
      </c>
      <c r="J1026" s="729"/>
      <c r="K1026" s="881"/>
      <c r="L1026" s="735"/>
      <c r="M1026" s="881"/>
      <c r="N1026" s="735"/>
      <c r="O1026" s="735"/>
    </row>
    <row r="1027" spans="2:15">
      <c r="B1027" s="334"/>
      <c r="C1027" s="725">
        <f>IF(D987="","-",+C1026+1)</f>
        <v>2048</v>
      </c>
      <c r="D1027" s="676">
        <f t="shared" si="62"/>
        <v>113933.17655367235</v>
      </c>
      <c r="E1027" s="732">
        <f t="shared" si="65"/>
        <v>4542.1864406779659</v>
      </c>
      <c r="F1027" s="676">
        <f t="shared" si="60"/>
        <v>109390.99011299439</v>
      </c>
      <c r="G1027" s="1277">
        <f t="shared" si="63"/>
        <v>16591.237581749374</v>
      </c>
      <c r="H1027" s="1280">
        <f t="shared" si="64"/>
        <v>16591.237581749374</v>
      </c>
      <c r="I1027" s="729">
        <f t="shared" si="61"/>
        <v>0</v>
      </c>
      <c r="J1027" s="729"/>
      <c r="K1027" s="881"/>
      <c r="L1027" s="735"/>
      <c r="M1027" s="881"/>
      <c r="N1027" s="735"/>
      <c r="O1027" s="735"/>
    </row>
    <row r="1028" spans="2:15">
      <c r="B1028" s="334"/>
      <c r="C1028" s="725">
        <f>IF(D987="","-",+C1027+1)</f>
        <v>2049</v>
      </c>
      <c r="D1028" s="676">
        <f t="shared" si="62"/>
        <v>109390.99011299439</v>
      </c>
      <c r="E1028" s="732">
        <f t="shared" si="65"/>
        <v>4542.1864406779659</v>
      </c>
      <c r="F1028" s="676">
        <f t="shared" si="60"/>
        <v>104848.80367231643</v>
      </c>
      <c r="G1028" s="1277">
        <f t="shared" si="63"/>
        <v>16101.106687875283</v>
      </c>
      <c r="H1028" s="1280">
        <f t="shared" si="64"/>
        <v>16101.106687875283</v>
      </c>
      <c r="I1028" s="729">
        <f t="shared" si="61"/>
        <v>0</v>
      </c>
      <c r="J1028" s="729"/>
      <c r="K1028" s="881"/>
      <c r="L1028" s="735"/>
      <c r="M1028" s="881"/>
      <c r="N1028" s="735"/>
      <c r="O1028" s="735"/>
    </row>
    <row r="1029" spans="2:15">
      <c r="B1029" s="334"/>
      <c r="C1029" s="725">
        <f>IF(D987="","-",+C1028+1)</f>
        <v>2050</v>
      </c>
      <c r="D1029" s="676">
        <f t="shared" si="62"/>
        <v>104848.80367231643</v>
      </c>
      <c r="E1029" s="732">
        <f t="shared" si="65"/>
        <v>4542.1864406779659</v>
      </c>
      <c r="F1029" s="676">
        <f t="shared" si="60"/>
        <v>100306.61723163846</v>
      </c>
      <c r="G1029" s="1277">
        <f t="shared" si="63"/>
        <v>15610.975794001191</v>
      </c>
      <c r="H1029" s="1280">
        <f t="shared" si="64"/>
        <v>15610.975794001191</v>
      </c>
      <c r="I1029" s="729">
        <f t="shared" si="61"/>
        <v>0</v>
      </c>
      <c r="J1029" s="729"/>
      <c r="K1029" s="881"/>
      <c r="L1029" s="735"/>
      <c r="M1029" s="881"/>
      <c r="N1029" s="735"/>
      <c r="O1029" s="735"/>
    </row>
    <row r="1030" spans="2:15">
      <c r="B1030" s="334"/>
      <c r="C1030" s="725">
        <f>IF(D987="","-",+C1029+1)</f>
        <v>2051</v>
      </c>
      <c r="D1030" s="676">
        <f t="shared" si="62"/>
        <v>100306.61723163846</v>
      </c>
      <c r="E1030" s="732">
        <f t="shared" si="65"/>
        <v>4542.1864406779659</v>
      </c>
      <c r="F1030" s="676">
        <f t="shared" si="60"/>
        <v>95764.430790960498</v>
      </c>
      <c r="G1030" s="1277">
        <f t="shared" si="63"/>
        <v>15120.8449001271</v>
      </c>
      <c r="H1030" s="1280">
        <f t="shared" si="64"/>
        <v>15120.8449001271</v>
      </c>
      <c r="I1030" s="729">
        <f t="shared" si="61"/>
        <v>0</v>
      </c>
      <c r="J1030" s="729"/>
      <c r="K1030" s="881"/>
      <c r="L1030" s="735"/>
      <c r="M1030" s="881"/>
      <c r="N1030" s="735"/>
      <c r="O1030" s="735"/>
    </row>
    <row r="1031" spans="2:15">
      <c r="B1031" s="334"/>
      <c r="C1031" s="725">
        <f>IF(D987="","-",+C1030+1)</f>
        <v>2052</v>
      </c>
      <c r="D1031" s="676">
        <f t="shared" si="62"/>
        <v>95764.430790960498</v>
      </c>
      <c r="E1031" s="732">
        <f t="shared" si="65"/>
        <v>4542.1864406779659</v>
      </c>
      <c r="F1031" s="676">
        <f t="shared" si="60"/>
        <v>91222.244350282534</v>
      </c>
      <c r="G1031" s="1277">
        <f t="shared" si="63"/>
        <v>14630.714006253009</v>
      </c>
      <c r="H1031" s="1280">
        <f t="shared" si="64"/>
        <v>14630.714006253009</v>
      </c>
      <c r="I1031" s="729">
        <f t="shared" si="61"/>
        <v>0</v>
      </c>
      <c r="J1031" s="729"/>
      <c r="K1031" s="881"/>
      <c r="L1031" s="735"/>
      <c r="M1031" s="881"/>
      <c r="N1031" s="735"/>
      <c r="O1031" s="735"/>
    </row>
    <row r="1032" spans="2:15">
      <c r="B1032" s="334"/>
      <c r="C1032" s="725">
        <f>IF(D987="","-",+C1031+1)</f>
        <v>2053</v>
      </c>
      <c r="D1032" s="676">
        <f t="shared" si="62"/>
        <v>91222.244350282534</v>
      </c>
      <c r="E1032" s="732">
        <f t="shared" si="65"/>
        <v>4542.1864406779659</v>
      </c>
      <c r="F1032" s="676">
        <f t="shared" si="60"/>
        <v>86680.057909604569</v>
      </c>
      <c r="G1032" s="1277">
        <f t="shared" si="63"/>
        <v>14140.583112378919</v>
      </c>
      <c r="H1032" s="1280">
        <f t="shared" si="64"/>
        <v>14140.583112378919</v>
      </c>
      <c r="I1032" s="729">
        <f t="shared" si="61"/>
        <v>0</v>
      </c>
      <c r="J1032" s="729"/>
      <c r="K1032" s="881"/>
      <c r="L1032" s="735"/>
      <c r="M1032" s="881"/>
      <c r="N1032" s="735"/>
      <c r="O1032" s="735"/>
    </row>
    <row r="1033" spans="2:15">
      <c r="B1033" s="334"/>
      <c r="C1033" s="725">
        <f>IF(D987="","-",+C1032+1)</f>
        <v>2054</v>
      </c>
      <c r="D1033" s="676">
        <f t="shared" si="62"/>
        <v>86680.057909604569</v>
      </c>
      <c r="E1033" s="732">
        <f t="shared" si="65"/>
        <v>4542.1864406779659</v>
      </c>
      <c r="F1033" s="676">
        <f t="shared" si="60"/>
        <v>82137.871468926605</v>
      </c>
      <c r="G1033" s="1277">
        <f t="shared" si="63"/>
        <v>13650.452218504828</v>
      </c>
      <c r="H1033" s="1280">
        <f t="shared" si="64"/>
        <v>13650.452218504828</v>
      </c>
      <c r="I1033" s="729">
        <f t="shared" si="61"/>
        <v>0</v>
      </c>
      <c r="J1033" s="729"/>
      <c r="K1033" s="881"/>
      <c r="L1033" s="735"/>
      <c r="M1033" s="881"/>
      <c r="N1033" s="735"/>
      <c r="O1033" s="735"/>
    </row>
    <row r="1034" spans="2:15">
      <c r="B1034" s="334"/>
      <c r="C1034" s="725">
        <f>IF(D987="","-",+C1033+1)</f>
        <v>2055</v>
      </c>
      <c r="D1034" s="676">
        <f t="shared" si="62"/>
        <v>82137.871468926605</v>
      </c>
      <c r="E1034" s="732">
        <f t="shared" si="65"/>
        <v>4542.1864406779659</v>
      </c>
      <c r="F1034" s="676">
        <f t="shared" si="60"/>
        <v>77595.685028248641</v>
      </c>
      <c r="G1034" s="1277">
        <f t="shared" si="63"/>
        <v>13160.321324630737</v>
      </c>
      <c r="H1034" s="1280">
        <f t="shared" si="64"/>
        <v>13160.321324630737</v>
      </c>
      <c r="I1034" s="729">
        <f t="shared" si="61"/>
        <v>0</v>
      </c>
      <c r="J1034" s="729"/>
      <c r="K1034" s="881"/>
      <c r="L1034" s="735"/>
      <c r="M1034" s="881"/>
      <c r="N1034" s="735"/>
      <c r="O1034" s="735"/>
    </row>
    <row r="1035" spans="2:15">
      <c r="B1035" s="334"/>
      <c r="C1035" s="725">
        <f>IF(D987="","-",+C1034+1)</f>
        <v>2056</v>
      </c>
      <c r="D1035" s="676">
        <f t="shared" si="62"/>
        <v>77595.685028248641</v>
      </c>
      <c r="E1035" s="732">
        <f t="shared" si="65"/>
        <v>4542.1864406779659</v>
      </c>
      <c r="F1035" s="676">
        <f t="shared" si="60"/>
        <v>73053.498587570677</v>
      </c>
      <c r="G1035" s="1277">
        <f t="shared" si="63"/>
        <v>12670.190430756647</v>
      </c>
      <c r="H1035" s="1280">
        <f t="shared" si="64"/>
        <v>12670.190430756647</v>
      </c>
      <c r="I1035" s="729">
        <f t="shared" si="61"/>
        <v>0</v>
      </c>
      <c r="J1035" s="729"/>
      <c r="K1035" s="881"/>
      <c r="L1035" s="735"/>
      <c r="M1035" s="881"/>
      <c r="N1035" s="735"/>
      <c r="O1035" s="735"/>
    </row>
    <row r="1036" spans="2:15">
      <c r="B1036" s="334"/>
      <c r="C1036" s="725">
        <f>IF(D987="","-",+C1035+1)</f>
        <v>2057</v>
      </c>
      <c r="D1036" s="676">
        <f t="shared" si="62"/>
        <v>73053.498587570677</v>
      </c>
      <c r="E1036" s="732">
        <f t="shared" si="65"/>
        <v>4542.1864406779659</v>
      </c>
      <c r="F1036" s="676">
        <f t="shared" si="60"/>
        <v>68511.312146892713</v>
      </c>
      <c r="G1036" s="1277">
        <f t="shared" si="63"/>
        <v>12180.059536882556</v>
      </c>
      <c r="H1036" s="1280">
        <f t="shared" si="64"/>
        <v>12180.059536882556</v>
      </c>
      <c r="I1036" s="729">
        <f t="shared" si="61"/>
        <v>0</v>
      </c>
      <c r="J1036" s="729"/>
      <c r="K1036" s="881"/>
      <c r="L1036" s="735"/>
      <c r="M1036" s="881"/>
      <c r="N1036" s="735"/>
      <c r="O1036" s="735"/>
    </row>
    <row r="1037" spans="2:15">
      <c r="B1037" s="334"/>
      <c r="C1037" s="725">
        <f>IF(D987="","-",+C1036+1)</f>
        <v>2058</v>
      </c>
      <c r="D1037" s="676">
        <f t="shared" si="62"/>
        <v>68511.312146892713</v>
      </c>
      <c r="E1037" s="732">
        <f t="shared" si="65"/>
        <v>4542.1864406779659</v>
      </c>
      <c r="F1037" s="676">
        <f t="shared" si="60"/>
        <v>63969.125706214749</v>
      </c>
      <c r="G1037" s="1277">
        <f t="shared" si="63"/>
        <v>11689.928643008465</v>
      </c>
      <c r="H1037" s="1280">
        <f t="shared" si="64"/>
        <v>11689.928643008465</v>
      </c>
      <c r="I1037" s="729">
        <f t="shared" si="61"/>
        <v>0</v>
      </c>
      <c r="J1037" s="729"/>
      <c r="K1037" s="881"/>
      <c r="L1037" s="735"/>
      <c r="M1037" s="881"/>
      <c r="N1037" s="735"/>
      <c r="O1037" s="735"/>
    </row>
    <row r="1038" spans="2:15">
      <c r="B1038" s="334"/>
      <c r="C1038" s="725">
        <f>IF(D987="","-",+C1037+1)</f>
        <v>2059</v>
      </c>
      <c r="D1038" s="676">
        <f t="shared" si="62"/>
        <v>63969.125706214749</v>
      </c>
      <c r="E1038" s="732">
        <f t="shared" si="65"/>
        <v>4542.1864406779659</v>
      </c>
      <c r="F1038" s="676">
        <f t="shared" si="60"/>
        <v>59426.939265536785</v>
      </c>
      <c r="G1038" s="1277">
        <f t="shared" si="63"/>
        <v>11199.797749134374</v>
      </c>
      <c r="H1038" s="1280">
        <f t="shared" si="64"/>
        <v>11199.797749134374</v>
      </c>
      <c r="I1038" s="729">
        <f t="shared" si="61"/>
        <v>0</v>
      </c>
      <c r="J1038" s="729"/>
      <c r="K1038" s="881"/>
      <c r="L1038" s="735"/>
      <c r="M1038" s="881"/>
      <c r="N1038" s="735"/>
      <c r="O1038" s="735"/>
    </row>
    <row r="1039" spans="2:15">
      <c r="B1039" s="334"/>
      <c r="C1039" s="725">
        <f>IF(D987="","-",+C1038+1)</f>
        <v>2060</v>
      </c>
      <c r="D1039" s="676">
        <f t="shared" si="62"/>
        <v>59426.939265536785</v>
      </c>
      <c r="E1039" s="732">
        <f t="shared" si="65"/>
        <v>4542.1864406779659</v>
      </c>
      <c r="F1039" s="676">
        <f t="shared" si="60"/>
        <v>54884.752824858821</v>
      </c>
      <c r="G1039" s="1277">
        <f t="shared" si="63"/>
        <v>10709.666855260284</v>
      </c>
      <c r="H1039" s="1280">
        <f t="shared" si="64"/>
        <v>10709.666855260284</v>
      </c>
      <c r="I1039" s="729">
        <f t="shared" si="61"/>
        <v>0</v>
      </c>
      <c r="J1039" s="729"/>
      <c r="K1039" s="881"/>
      <c r="L1039" s="735"/>
      <c r="M1039" s="881"/>
      <c r="N1039" s="735"/>
      <c r="O1039" s="735"/>
    </row>
    <row r="1040" spans="2:15">
      <c r="B1040" s="334"/>
      <c r="C1040" s="725">
        <f>IF(D987="","-",+C1039+1)</f>
        <v>2061</v>
      </c>
      <c r="D1040" s="676">
        <f t="shared" si="62"/>
        <v>54884.752824858821</v>
      </c>
      <c r="E1040" s="732">
        <f t="shared" si="65"/>
        <v>4542.1864406779659</v>
      </c>
      <c r="F1040" s="676">
        <f t="shared" si="60"/>
        <v>50342.566384180856</v>
      </c>
      <c r="G1040" s="1277">
        <f t="shared" si="63"/>
        <v>10219.535961386193</v>
      </c>
      <c r="H1040" s="1280">
        <f t="shared" si="64"/>
        <v>10219.535961386193</v>
      </c>
      <c r="I1040" s="729">
        <f t="shared" si="61"/>
        <v>0</v>
      </c>
      <c r="J1040" s="729"/>
      <c r="K1040" s="881"/>
      <c r="L1040" s="735"/>
      <c r="M1040" s="881"/>
      <c r="N1040" s="735"/>
      <c r="O1040" s="735"/>
    </row>
    <row r="1041" spans="2:15">
      <c r="B1041" s="334"/>
      <c r="C1041" s="725">
        <f>IF(D987="","-",+C1040+1)</f>
        <v>2062</v>
      </c>
      <c r="D1041" s="676">
        <f t="shared" si="62"/>
        <v>50342.566384180856</v>
      </c>
      <c r="E1041" s="732">
        <f t="shared" si="65"/>
        <v>4542.1864406779659</v>
      </c>
      <c r="F1041" s="676">
        <f t="shared" si="60"/>
        <v>45800.379943502892</v>
      </c>
      <c r="G1041" s="1277">
        <f t="shared" si="63"/>
        <v>9729.4050675121034</v>
      </c>
      <c r="H1041" s="1280">
        <f t="shared" si="64"/>
        <v>9729.4050675121034</v>
      </c>
      <c r="I1041" s="729">
        <f t="shared" si="61"/>
        <v>0</v>
      </c>
      <c r="J1041" s="729"/>
      <c r="K1041" s="881"/>
      <c r="L1041" s="735"/>
      <c r="M1041" s="881"/>
      <c r="N1041" s="735"/>
      <c r="O1041" s="735"/>
    </row>
    <row r="1042" spans="2:15">
      <c r="B1042" s="334"/>
      <c r="C1042" s="725">
        <f>IF(D987="","-",+C1041+1)</f>
        <v>2063</v>
      </c>
      <c r="D1042" s="676">
        <f t="shared" si="62"/>
        <v>45800.379943502892</v>
      </c>
      <c r="E1042" s="732">
        <f t="shared" si="65"/>
        <v>4542.1864406779659</v>
      </c>
      <c r="F1042" s="676">
        <f t="shared" si="60"/>
        <v>41258.193502824928</v>
      </c>
      <c r="G1042" s="1277">
        <f t="shared" si="63"/>
        <v>9239.2741736380121</v>
      </c>
      <c r="H1042" s="1280">
        <f t="shared" si="64"/>
        <v>9239.2741736380121</v>
      </c>
      <c r="I1042" s="729">
        <f t="shared" si="61"/>
        <v>0</v>
      </c>
      <c r="J1042" s="729"/>
      <c r="K1042" s="881"/>
      <c r="L1042" s="735"/>
      <c r="M1042" s="881"/>
      <c r="N1042" s="735"/>
      <c r="O1042" s="735"/>
    </row>
    <row r="1043" spans="2:15">
      <c r="B1043" s="334"/>
      <c r="C1043" s="725">
        <f>IF(D987="","-",+C1042+1)</f>
        <v>2064</v>
      </c>
      <c r="D1043" s="676">
        <f t="shared" si="62"/>
        <v>41258.193502824928</v>
      </c>
      <c r="E1043" s="732">
        <f t="shared" si="65"/>
        <v>4542.1864406779659</v>
      </c>
      <c r="F1043" s="676">
        <f t="shared" si="60"/>
        <v>36716.007062146964</v>
      </c>
      <c r="G1043" s="1277">
        <f t="shared" si="63"/>
        <v>8749.1432797639209</v>
      </c>
      <c r="H1043" s="1280">
        <f t="shared" si="64"/>
        <v>8749.1432797639209</v>
      </c>
      <c r="I1043" s="729">
        <f t="shared" si="61"/>
        <v>0</v>
      </c>
      <c r="J1043" s="729"/>
      <c r="K1043" s="881"/>
      <c r="L1043" s="735"/>
      <c r="M1043" s="881"/>
      <c r="N1043" s="735"/>
      <c r="O1043" s="735"/>
    </row>
    <row r="1044" spans="2:15">
      <c r="B1044" s="334"/>
      <c r="C1044" s="725">
        <f>IF(D987="","-",+C1043+1)</f>
        <v>2065</v>
      </c>
      <c r="D1044" s="676">
        <f t="shared" si="62"/>
        <v>36716.007062146964</v>
      </c>
      <c r="E1044" s="732">
        <f t="shared" si="65"/>
        <v>4542.1864406779659</v>
      </c>
      <c r="F1044" s="676">
        <f t="shared" si="60"/>
        <v>32173.820621469</v>
      </c>
      <c r="G1044" s="1277">
        <f t="shared" si="63"/>
        <v>8259.0123858898296</v>
      </c>
      <c r="H1044" s="1280">
        <f t="shared" si="64"/>
        <v>8259.0123858898296</v>
      </c>
      <c r="I1044" s="729">
        <f t="shared" si="61"/>
        <v>0</v>
      </c>
      <c r="J1044" s="729"/>
      <c r="K1044" s="881"/>
      <c r="L1044" s="735"/>
      <c r="M1044" s="881"/>
      <c r="N1044" s="735"/>
      <c r="O1044" s="735"/>
    </row>
    <row r="1045" spans="2:15">
      <c r="B1045" s="334"/>
      <c r="C1045" s="725">
        <f>IF(D987="","-",+C1044+1)</f>
        <v>2066</v>
      </c>
      <c r="D1045" s="676">
        <f t="shared" si="62"/>
        <v>32173.820621469</v>
      </c>
      <c r="E1045" s="732">
        <f t="shared" si="65"/>
        <v>4542.1864406779659</v>
      </c>
      <c r="F1045" s="676">
        <f t="shared" si="60"/>
        <v>27631.634180791036</v>
      </c>
      <c r="G1045" s="1277">
        <f t="shared" si="63"/>
        <v>7768.8814920157392</v>
      </c>
      <c r="H1045" s="1280">
        <f t="shared" si="64"/>
        <v>7768.8814920157392</v>
      </c>
      <c r="I1045" s="729">
        <f t="shared" si="61"/>
        <v>0</v>
      </c>
      <c r="J1045" s="729"/>
      <c r="K1045" s="881"/>
      <c r="L1045" s="735"/>
      <c r="M1045" s="881"/>
      <c r="N1045" s="735"/>
      <c r="O1045" s="735"/>
    </row>
    <row r="1046" spans="2:15">
      <c r="B1046" s="334"/>
      <c r="C1046" s="725">
        <f>IF(D987="","-",+C1045+1)</f>
        <v>2067</v>
      </c>
      <c r="D1046" s="676">
        <f t="shared" si="62"/>
        <v>27631.634180791036</v>
      </c>
      <c r="E1046" s="732">
        <f t="shared" si="65"/>
        <v>4542.1864406779659</v>
      </c>
      <c r="F1046" s="676">
        <f t="shared" si="60"/>
        <v>23089.447740113072</v>
      </c>
      <c r="G1046" s="1277">
        <f t="shared" si="63"/>
        <v>7278.7505981416489</v>
      </c>
      <c r="H1046" s="1280">
        <f t="shared" si="64"/>
        <v>7278.7505981416489</v>
      </c>
      <c r="I1046" s="729">
        <f t="shared" si="61"/>
        <v>0</v>
      </c>
      <c r="J1046" s="729"/>
      <c r="K1046" s="881"/>
      <c r="L1046" s="735"/>
      <c r="M1046" s="881"/>
      <c r="N1046" s="735"/>
      <c r="O1046" s="735"/>
    </row>
    <row r="1047" spans="2:15">
      <c r="B1047" s="334"/>
      <c r="C1047" s="725">
        <f>IF(D987="","-",+C1046+1)</f>
        <v>2068</v>
      </c>
      <c r="D1047" s="676">
        <f t="shared" si="62"/>
        <v>23089.447740113072</v>
      </c>
      <c r="E1047" s="732">
        <f t="shared" si="65"/>
        <v>4542.1864406779659</v>
      </c>
      <c r="F1047" s="676">
        <f t="shared" si="60"/>
        <v>18547.261299435108</v>
      </c>
      <c r="G1047" s="1277">
        <f t="shared" si="63"/>
        <v>6788.6197042675576</v>
      </c>
      <c r="H1047" s="1280">
        <f t="shared" si="64"/>
        <v>6788.6197042675576</v>
      </c>
      <c r="I1047" s="729">
        <f t="shared" si="61"/>
        <v>0</v>
      </c>
      <c r="J1047" s="729"/>
      <c r="K1047" s="881"/>
      <c r="L1047" s="735"/>
      <c r="M1047" s="881"/>
      <c r="N1047" s="735"/>
      <c r="O1047" s="735"/>
    </row>
    <row r="1048" spans="2:15">
      <c r="B1048" s="334"/>
      <c r="C1048" s="725">
        <f>IF(D987="","-",+C1047+1)</f>
        <v>2069</v>
      </c>
      <c r="D1048" s="676">
        <f t="shared" si="62"/>
        <v>18547.261299435108</v>
      </c>
      <c r="E1048" s="732">
        <f t="shared" si="65"/>
        <v>4542.1864406779659</v>
      </c>
      <c r="F1048" s="676">
        <f t="shared" si="60"/>
        <v>14005.074858757142</v>
      </c>
      <c r="G1048" s="1277">
        <f t="shared" si="63"/>
        <v>6298.4888103934672</v>
      </c>
      <c r="H1048" s="1280">
        <f t="shared" si="64"/>
        <v>6298.4888103934672</v>
      </c>
      <c r="I1048" s="729">
        <f t="shared" si="61"/>
        <v>0</v>
      </c>
      <c r="J1048" s="729"/>
      <c r="K1048" s="881"/>
      <c r="L1048" s="735"/>
      <c r="M1048" s="881"/>
      <c r="N1048" s="735"/>
      <c r="O1048" s="735"/>
    </row>
    <row r="1049" spans="2:15">
      <c r="B1049" s="334"/>
      <c r="C1049" s="725">
        <f>IF(D987="","-",+C1048+1)</f>
        <v>2070</v>
      </c>
      <c r="D1049" s="676">
        <f t="shared" si="62"/>
        <v>14005.074858757142</v>
      </c>
      <c r="E1049" s="732">
        <f t="shared" si="65"/>
        <v>4542.1864406779659</v>
      </c>
      <c r="F1049" s="676">
        <f t="shared" si="60"/>
        <v>9462.8884180791756</v>
      </c>
      <c r="G1049" s="1277">
        <f t="shared" si="63"/>
        <v>5808.357916519376</v>
      </c>
      <c r="H1049" s="1280">
        <f t="shared" si="64"/>
        <v>5808.357916519376</v>
      </c>
      <c r="I1049" s="729">
        <f t="shared" si="61"/>
        <v>0</v>
      </c>
      <c r="J1049" s="729"/>
      <c r="K1049" s="881"/>
      <c r="L1049" s="735"/>
      <c r="M1049" s="881"/>
      <c r="N1049" s="735"/>
      <c r="O1049" s="735"/>
    </row>
    <row r="1050" spans="2:15">
      <c r="B1050" s="334"/>
      <c r="C1050" s="725">
        <f>IF(D987="","-",+C1049+1)</f>
        <v>2071</v>
      </c>
      <c r="D1050" s="676">
        <f t="shared" si="62"/>
        <v>9462.8884180791756</v>
      </c>
      <c r="E1050" s="732">
        <f t="shared" si="65"/>
        <v>4542.1864406779659</v>
      </c>
      <c r="F1050" s="676">
        <f t="shared" si="60"/>
        <v>4920.7019774012097</v>
      </c>
      <c r="G1050" s="1277">
        <f t="shared" si="63"/>
        <v>5318.2270226452856</v>
      </c>
      <c r="H1050" s="1280">
        <f t="shared" si="64"/>
        <v>5318.2270226452856</v>
      </c>
      <c r="I1050" s="729">
        <f t="shared" si="61"/>
        <v>0</v>
      </c>
      <c r="J1050" s="729"/>
      <c r="K1050" s="881"/>
      <c r="L1050" s="735"/>
      <c r="M1050" s="881"/>
      <c r="N1050" s="735"/>
      <c r="O1050" s="735"/>
    </row>
    <row r="1051" spans="2:15">
      <c r="B1051" s="334"/>
      <c r="C1051" s="725">
        <f>IF(D987="","-",+C1050+1)</f>
        <v>2072</v>
      </c>
      <c r="D1051" s="676">
        <f t="shared" si="62"/>
        <v>4920.7019774012097</v>
      </c>
      <c r="E1051" s="732">
        <f t="shared" si="65"/>
        <v>4542.1864406779659</v>
      </c>
      <c r="F1051" s="676">
        <f t="shared" si="60"/>
        <v>378.51553672324371</v>
      </c>
      <c r="G1051" s="1277">
        <f t="shared" si="63"/>
        <v>4828.0961287711943</v>
      </c>
      <c r="H1051" s="1280">
        <f t="shared" si="64"/>
        <v>4828.0961287711943</v>
      </c>
      <c r="I1051" s="729">
        <f t="shared" si="61"/>
        <v>0</v>
      </c>
      <c r="J1051" s="729"/>
      <c r="K1051" s="881"/>
      <c r="L1051" s="735"/>
      <c r="M1051" s="881"/>
      <c r="N1051" s="735"/>
      <c r="O1051" s="735"/>
    </row>
    <row r="1052" spans="2:15" ht="13.5" thickBot="1">
      <c r="B1052" s="334"/>
      <c r="C1052" s="737">
        <f>IF(D987="","-",+C1051+1)</f>
        <v>2073</v>
      </c>
      <c r="D1052" s="738">
        <f t="shared" si="62"/>
        <v>378.51553672324371</v>
      </c>
      <c r="E1052" s="739">
        <f t="shared" si="65"/>
        <v>378.51553672324371</v>
      </c>
      <c r="F1052" s="738">
        <f t="shared" si="60"/>
        <v>0</v>
      </c>
      <c r="G1052" s="1287">
        <f t="shared" si="63"/>
        <v>398.93765730133515</v>
      </c>
      <c r="H1052" s="1287">
        <f t="shared" si="64"/>
        <v>398.93765730133515</v>
      </c>
      <c r="I1052" s="741">
        <f t="shared" si="61"/>
        <v>0</v>
      </c>
      <c r="J1052" s="729"/>
      <c r="K1052" s="882"/>
      <c r="L1052" s="743"/>
      <c r="M1052" s="882"/>
      <c r="N1052" s="743"/>
      <c r="O1052" s="743"/>
    </row>
    <row r="1053" spans="2:15">
      <c r="B1053" s="334"/>
      <c r="C1053" s="676" t="s">
        <v>289</v>
      </c>
      <c r="D1053" s="1258"/>
      <c r="E1053" s="1258">
        <f>SUM(E993:E1052)</f>
        <v>267989</v>
      </c>
      <c r="F1053" s="1258"/>
      <c r="G1053" s="1258">
        <f>SUM(G993:G1052)</f>
        <v>1123471.6310160696</v>
      </c>
      <c r="H1053" s="1258">
        <f>SUM(H993:H1052)</f>
        <v>1123471.6310160696</v>
      </c>
      <c r="I1053" s="1258">
        <f>SUM(I993:I1052)</f>
        <v>0</v>
      </c>
      <c r="J1053" s="1258"/>
      <c r="K1053" s="1258"/>
      <c r="L1053" s="1258"/>
      <c r="M1053" s="1258"/>
      <c r="N1053" s="1258"/>
      <c r="O1053" s="543"/>
    </row>
    <row r="1054" spans="2:15">
      <c r="B1054" s="334"/>
      <c r="D1054" s="566"/>
      <c r="E1054" s="543"/>
      <c r="F1054" s="543"/>
      <c r="G1054" s="543"/>
      <c r="H1054" s="1257"/>
      <c r="I1054" s="1257"/>
      <c r="J1054" s="1258"/>
      <c r="K1054" s="1257"/>
      <c r="L1054" s="1257"/>
      <c r="M1054" s="1257"/>
      <c r="N1054" s="1257"/>
      <c r="O1054" s="543"/>
    </row>
    <row r="1055" spans="2:15">
      <c r="B1055" s="334"/>
      <c r="C1055" s="543" t="s">
        <v>602</v>
      </c>
      <c r="D1055" s="566"/>
      <c r="E1055" s="543"/>
      <c r="F1055" s="543"/>
      <c r="G1055" s="543"/>
      <c r="H1055" s="1257"/>
      <c r="I1055" s="1257"/>
      <c r="J1055" s="1258"/>
      <c r="K1055" s="1257"/>
      <c r="L1055" s="1257"/>
      <c r="M1055" s="1257"/>
      <c r="N1055" s="1257"/>
      <c r="O1055" s="543"/>
    </row>
    <row r="1056" spans="2:15">
      <c r="B1056" s="334"/>
      <c r="D1056" s="566"/>
      <c r="E1056" s="543"/>
      <c r="F1056" s="543"/>
      <c r="G1056" s="543"/>
      <c r="H1056" s="1257"/>
      <c r="I1056" s="1257"/>
      <c r="J1056" s="1258"/>
      <c r="K1056" s="1257"/>
      <c r="L1056" s="1257"/>
      <c r="M1056" s="1257"/>
      <c r="N1056" s="1257"/>
      <c r="O1056" s="543"/>
    </row>
    <row r="1057" spans="1:16">
      <c r="B1057" s="334"/>
      <c r="C1057" s="579" t="s">
        <v>603</v>
      </c>
      <c r="D1057" s="676"/>
      <c r="E1057" s="676"/>
      <c r="F1057" s="676"/>
      <c r="G1057" s="1258"/>
      <c r="H1057" s="1258"/>
      <c r="I1057" s="677"/>
      <c r="J1057" s="677"/>
      <c r="K1057" s="677"/>
      <c r="L1057" s="677"/>
      <c r="M1057" s="677"/>
      <c r="N1057" s="677"/>
      <c r="O1057" s="543"/>
    </row>
    <row r="1058" spans="1:16">
      <c r="B1058" s="334"/>
      <c r="C1058" s="579" t="s">
        <v>477</v>
      </c>
      <c r="D1058" s="676"/>
      <c r="E1058" s="676"/>
      <c r="F1058" s="676"/>
      <c r="G1058" s="1258"/>
      <c r="H1058" s="1258"/>
      <c r="I1058" s="677"/>
      <c r="J1058" s="677"/>
      <c r="K1058" s="677"/>
      <c r="L1058" s="677"/>
      <c r="M1058" s="677"/>
      <c r="N1058" s="677"/>
      <c r="O1058" s="543"/>
    </row>
    <row r="1059" spans="1:16">
      <c r="B1059" s="334"/>
      <c r="C1059" s="579" t="s">
        <v>290</v>
      </c>
      <c r="D1059" s="676"/>
      <c r="E1059" s="676"/>
      <c r="F1059" s="676"/>
      <c r="G1059" s="1258"/>
      <c r="H1059" s="1258"/>
      <c r="I1059" s="677"/>
      <c r="J1059" s="677"/>
      <c r="K1059" s="677"/>
      <c r="L1059" s="677"/>
      <c r="M1059" s="677"/>
      <c r="N1059" s="677"/>
      <c r="O1059" s="543"/>
    </row>
    <row r="1060" spans="1:16">
      <c r="B1060" s="334"/>
      <c r="C1060" s="675"/>
      <c r="D1060" s="676"/>
      <c r="E1060" s="676"/>
      <c r="F1060" s="676"/>
      <c r="G1060" s="1258"/>
      <c r="H1060" s="1258"/>
      <c r="I1060" s="677"/>
      <c r="J1060" s="677"/>
      <c r="K1060" s="677"/>
      <c r="L1060" s="677"/>
      <c r="M1060" s="677"/>
      <c r="N1060" s="677"/>
      <c r="O1060" s="543"/>
    </row>
    <row r="1061" spans="1:16">
      <c r="B1061" s="334"/>
      <c r="C1061" s="1436" t="s">
        <v>461</v>
      </c>
      <c r="D1061" s="1436"/>
      <c r="E1061" s="1436"/>
      <c r="F1061" s="1436"/>
      <c r="G1061" s="1436"/>
      <c r="H1061" s="1436"/>
      <c r="I1061" s="1436"/>
      <c r="J1061" s="1436"/>
      <c r="K1061" s="1436"/>
      <c r="L1061" s="1436"/>
      <c r="M1061" s="1436"/>
      <c r="N1061" s="1436"/>
      <c r="O1061" s="1436"/>
    </row>
    <row r="1062" spans="1:16">
      <c r="B1062" s="334"/>
      <c r="C1062" s="1436"/>
      <c r="D1062" s="1436"/>
      <c r="E1062" s="1436"/>
      <c r="F1062" s="1436"/>
      <c r="G1062" s="1436"/>
      <c r="H1062" s="1436"/>
      <c r="I1062" s="1436"/>
      <c r="J1062" s="1436"/>
      <c r="K1062" s="1436"/>
      <c r="L1062" s="1436"/>
      <c r="M1062" s="1436"/>
      <c r="N1062" s="1436"/>
      <c r="O1062" s="1436"/>
    </row>
    <row r="1063" spans="1:16" ht="20.25">
      <c r="A1063" s="678" t="s">
        <v>993</v>
      </c>
      <c r="B1063" s="543"/>
      <c r="C1063" s="658"/>
      <c r="D1063" s="566"/>
      <c r="E1063" s="543"/>
      <c r="F1063" s="648"/>
      <c r="G1063" s="543"/>
      <c r="H1063" s="1257"/>
      <c r="K1063" s="679"/>
      <c r="L1063" s="679"/>
      <c r="M1063" s="679"/>
      <c r="N1063" s="594" t="str">
        <f>"Page "&amp;SUM(P$6:P1063)&amp;" of "</f>
        <v xml:space="preserve">Page 13 of </v>
      </c>
      <c r="O1063" s="595">
        <f>COUNT(P$6:P$59606)</f>
        <v>14</v>
      </c>
      <c r="P1063" s="543">
        <v>1</v>
      </c>
    </row>
    <row r="1064" spans="1:16">
      <c r="B1064" s="543"/>
      <c r="C1064" s="543"/>
      <c r="D1064" s="566"/>
      <c r="E1064" s="543"/>
      <c r="F1064" s="543"/>
      <c r="G1064" s="543"/>
      <c r="H1064" s="1257"/>
      <c r="I1064" s="543"/>
      <c r="J1064" s="591"/>
      <c r="K1064" s="543"/>
      <c r="L1064" s="543"/>
      <c r="M1064" s="543"/>
      <c r="N1064" s="543"/>
      <c r="O1064" s="543"/>
    </row>
    <row r="1065" spans="1:16" ht="18">
      <c r="B1065" s="598" t="s">
        <v>175</v>
      </c>
      <c r="C1065" s="680" t="s">
        <v>291</v>
      </c>
      <c r="D1065" s="566"/>
      <c r="E1065" s="543"/>
      <c r="F1065" s="543"/>
      <c r="G1065" s="543"/>
      <c r="H1065" s="1257"/>
      <c r="I1065" s="1257"/>
      <c r="J1065" s="1258"/>
      <c r="K1065" s="1257"/>
      <c r="L1065" s="1257"/>
      <c r="M1065" s="1257"/>
      <c r="N1065" s="1257"/>
      <c r="O1065" s="543"/>
    </row>
    <row r="1066" spans="1:16" ht="18.75">
      <c r="B1066" s="598"/>
      <c r="C1066" s="597"/>
      <c r="D1066" s="566"/>
      <c r="E1066" s="543"/>
      <c r="F1066" s="543"/>
      <c r="G1066" s="543"/>
      <c r="H1066" s="1257"/>
      <c r="I1066" s="1257"/>
      <c r="J1066" s="1258"/>
      <c r="K1066" s="1257"/>
      <c r="L1066" s="1257"/>
      <c r="M1066" s="1257"/>
      <c r="N1066" s="1257"/>
      <c r="O1066" s="543"/>
    </row>
    <row r="1067" spans="1:16" ht="18.75">
      <c r="B1067" s="598"/>
      <c r="C1067" s="597" t="s">
        <v>292</v>
      </c>
      <c r="D1067" s="566"/>
      <c r="E1067" s="543"/>
      <c r="F1067" s="543"/>
      <c r="G1067" s="543"/>
      <c r="H1067" s="1257"/>
      <c r="I1067" s="1257"/>
      <c r="J1067" s="1258"/>
      <c r="K1067" s="1257"/>
      <c r="L1067" s="1257"/>
      <c r="M1067" s="1257"/>
      <c r="N1067" s="1257"/>
      <c r="O1067" s="543"/>
    </row>
    <row r="1068" spans="1:16" ht="15.75" thickBot="1">
      <c r="B1068" s="334"/>
      <c r="C1068" s="400"/>
      <c r="D1068" s="566"/>
      <c r="E1068" s="543"/>
      <c r="F1068" s="543"/>
      <c r="G1068" s="543"/>
      <c r="H1068" s="1257"/>
      <c r="I1068" s="1257"/>
      <c r="J1068" s="1258"/>
      <c r="K1068" s="1257"/>
      <c r="L1068" s="1257"/>
      <c r="M1068" s="1257"/>
      <c r="N1068" s="1257"/>
      <c r="O1068" s="543"/>
    </row>
    <row r="1069" spans="1:16" ht="15.75">
      <c r="B1069" s="334"/>
      <c r="C1069" s="599" t="s">
        <v>293</v>
      </c>
      <c r="D1069" s="566"/>
      <c r="E1069" s="543"/>
      <c r="F1069" s="543"/>
      <c r="G1069" s="1259"/>
      <c r="H1069" s="543" t="s">
        <v>272</v>
      </c>
      <c r="I1069" s="543"/>
      <c r="J1069" s="591"/>
      <c r="K1069" s="681" t="s">
        <v>297</v>
      </c>
      <c r="L1069" s="682"/>
      <c r="M1069" s="683"/>
      <c r="N1069" s="1260">
        <f>VLOOKUP(I1075,C1082:O1141,5)</f>
        <v>1151674.9347822578</v>
      </c>
      <c r="O1069" s="543"/>
    </row>
    <row r="1070" spans="1:16" ht="15.75">
      <c r="B1070" s="334"/>
      <c r="C1070" s="599"/>
      <c r="D1070" s="566"/>
      <c r="E1070" s="543"/>
      <c r="F1070" s="543"/>
      <c r="G1070" s="543"/>
      <c r="H1070" s="1261"/>
      <c r="I1070" s="1261"/>
      <c r="J1070" s="1262"/>
      <c r="K1070" s="686" t="s">
        <v>298</v>
      </c>
      <c r="L1070" s="1263"/>
      <c r="M1070" s="591"/>
      <c r="N1070" s="1264">
        <f>VLOOKUP(I1075,C1082:O1141,6)</f>
        <v>1151674.9347822578</v>
      </c>
      <c r="O1070" s="543"/>
    </row>
    <row r="1071" spans="1:16" ht="13.5" thickBot="1">
      <c r="B1071" s="334"/>
      <c r="C1071" s="687" t="s">
        <v>294</v>
      </c>
      <c r="D1071" s="1434" t="s">
        <v>1006</v>
      </c>
      <c r="E1071" s="1434"/>
      <c r="F1071" s="1434"/>
      <c r="G1071" s="1434"/>
      <c r="H1071" s="1434"/>
      <c r="I1071" s="1257"/>
      <c r="J1071" s="1258"/>
      <c r="K1071" s="1265" t="s">
        <v>451</v>
      </c>
      <c r="L1071" s="1266"/>
      <c r="M1071" s="1266"/>
      <c r="N1071" s="1267">
        <f>+N1070-N1069</f>
        <v>0</v>
      </c>
      <c r="O1071" s="543"/>
    </row>
    <row r="1072" spans="1:16">
      <c r="B1072" s="334"/>
      <c r="C1072" s="689"/>
      <c r="D1072" s="690"/>
      <c r="E1072" s="674"/>
      <c r="F1072" s="674"/>
      <c r="G1072" s="691"/>
      <c r="H1072" s="1257"/>
      <c r="I1072" s="1257"/>
      <c r="J1072" s="1258"/>
      <c r="K1072" s="1257"/>
      <c r="L1072" s="1257"/>
      <c r="M1072" s="1257"/>
      <c r="N1072" s="1257"/>
      <c r="O1072" s="543"/>
    </row>
    <row r="1073" spans="1:15" ht="13.5" thickBot="1">
      <c r="B1073" s="334"/>
      <c r="C1073" s="692"/>
      <c r="D1073" s="693"/>
      <c r="E1073" s="691"/>
      <c r="F1073" s="691"/>
      <c r="G1073" s="691"/>
      <c r="H1073" s="691"/>
      <c r="I1073" s="691"/>
      <c r="J1073" s="694"/>
      <c r="K1073" s="691"/>
      <c r="L1073" s="691"/>
      <c r="M1073" s="691"/>
      <c r="N1073" s="691"/>
      <c r="O1073" s="579"/>
    </row>
    <row r="1074" spans="1:15" ht="13.5" thickBot="1">
      <c r="B1074" s="334"/>
      <c r="C1074" s="696" t="s">
        <v>295</v>
      </c>
      <c r="D1074" s="697"/>
      <c r="E1074" s="697"/>
      <c r="F1074" s="697"/>
      <c r="G1074" s="697"/>
      <c r="H1074" s="697"/>
      <c r="I1074" s="698"/>
      <c r="J1074" s="699"/>
      <c r="K1074" s="543"/>
      <c r="L1074" s="543"/>
      <c r="M1074" s="543"/>
      <c r="N1074" s="543"/>
      <c r="O1074" s="700"/>
    </row>
    <row r="1075" spans="1:15" ht="15">
      <c r="C1075" s="702" t="s">
        <v>273</v>
      </c>
      <c r="D1075" s="1268">
        <v>9292117</v>
      </c>
      <c r="E1075" s="658" t="s">
        <v>274</v>
      </c>
      <c r="G1075" s="703"/>
      <c r="H1075" s="703"/>
      <c r="I1075" s="704">
        <v>2018</v>
      </c>
      <c r="J1075" s="589"/>
      <c r="K1075" s="1435" t="s">
        <v>460</v>
      </c>
      <c r="L1075" s="1435"/>
      <c r="M1075" s="1435"/>
      <c r="N1075" s="1435"/>
      <c r="O1075" s="1435"/>
    </row>
    <row r="1076" spans="1:15">
      <c r="C1076" s="702" t="s">
        <v>276</v>
      </c>
      <c r="D1076" s="1306">
        <v>2017</v>
      </c>
      <c r="E1076" s="702" t="s">
        <v>277</v>
      </c>
      <c r="F1076" s="703"/>
      <c r="H1076" s="334"/>
      <c r="I1076" s="879">
        <f>IF(G1069="",0,$F$15)</f>
        <v>0</v>
      </c>
      <c r="J1076" s="705"/>
      <c r="K1076" s="1258" t="s">
        <v>460</v>
      </c>
    </row>
    <row r="1077" spans="1:15">
      <c r="C1077" s="702" t="s">
        <v>278</v>
      </c>
      <c r="D1077" s="1268">
        <v>12</v>
      </c>
      <c r="E1077" s="702" t="s">
        <v>279</v>
      </c>
      <c r="F1077" s="703"/>
      <c r="H1077" s="334"/>
      <c r="I1077" s="706">
        <f>$G$70</f>
        <v>0.10790637951024619</v>
      </c>
      <c r="J1077" s="707"/>
      <c r="K1077" s="334" t="str">
        <f>"          INPUT PROJECTED ARR (WITH &amp; WITHOUT INCENTIVES) FROM EACH PRIOR YEAR"</f>
        <v xml:space="preserve">          INPUT PROJECTED ARR (WITH &amp; WITHOUT INCENTIVES) FROM EACH PRIOR YEAR</v>
      </c>
    </row>
    <row r="1078" spans="1:15">
      <c r="C1078" s="702" t="s">
        <v>280</v>
      </c>
      <c r="D1078" s="708">
        <f>G$79</f>
        <v>59</v>
      </c>
      <c r="E1078" s="702" t="s">
        <v>281</v>
      </c>
      <c r="F1078" s="703"/>
      <c r="H1078" s="334"/>
      <c r="I1078" s="706">
        <f>IF(G1069="",I1077,$G$67)</f>
        <v>0.10790637951024619</v>
      </c>
      <c r="J1078" s="709"/>
      <c r="K1078" s="334" t="s">
        <v>358</v>
      </c>
    </row>
    <row r="1079" spans="1:15" ht="13.5" thickBot="1">
      <c r="C1079" s="702" t="s">
        <v>282</v>
      </c>
      <c r="D1079" s="878" t="s">
        <v>995</v>
      </c>
      <c r="E1079" s="710" t="s">
        <v>283</v>
      </c>
      <c r="F1079" s="711"/>
      <c r="G1079" s="712"/>
      <c r="H1079" s="712"/>
      <c r="I1079" s="1267">
        <f>IF(D1075=0,0,D1075/D1078)</f>
        <v>157493.50847457626</v>
      </c>
      <c r="J1079" s="1258"/>
      <c r="K1079" s="1258" t="s">
        <v>364</v>
      </c>
      <c r="L1079" s="1258"/>
      <c r="M1079" s="1258"/>
      <c r="N1079" s="1258"/>
      <c r="O1079" s="591"/>
    </row>
    <row r="1080" spans="1:15" ht="51">
      <c r="A1080" s="530"/>
      <c r="B1080" s="530"/>
      <c r="C1080" s="713" t="s">
        <v>273</v>
      </c>
      <c r="D1080" s="1270" t="s">
        <v>284</v>
      </c>
      <c r="E1080" s="1271" t="s">
        <v>285</v>
      </c>
      <c r="F1080" s="1270" t="s">
        <v>286</v>
      </c>
      <c r="G1080" s="1271" t="s">
        <v>357</v>
      </c>
      <c r="H1080" s="1272" t="s">
        <v>357</v>
      </c>
      <c r="I1080" s="713" t="s">
        <v>296</v>
      </c>
      <c r="J1080" s="717"/>
      <c r="K1080" s="1271" t="s">
        <v>366</v>
      </c>
      <c r="L1080" s="1273"/>
      <c r="M1080" s="1271" t="s">
        <v>366</v>
      </c>
      <c r="N1080" s="1273"/>
      <c r="O1080" s="1273"/>
    </row>
    <row r="1081" spans="1:15" ht="13.5" thickBot="1">
      <c r="B1081" s="334"/>
      <c r="C1081" s="719" t="s">
        <v>178</v>
      </c>
      <c r="D1081" s="720" t="s">
        <v>179</v>
      </c>
      <c r="E1081" s="719" t="s">
        <v>37</v>
      </c>
      <c r="F1081" s="720" t="s">
        <v>179</v>
      </c>
      <c r="G1081" s="1274" t="s">
        <v>299</v>
      </c>
      <c r="H1081" s="1275" t="s">
        <v>301</v>
      </c>
      <c r="I1081" s="723" t="s">
        <v>390</v>
      </c>
      <c r="J1081" s="724"/>
      <c r="K1081" s="1274" t="s">
        <v>288</v>
      </c>
      <c r="L1081" s="1276"/>
      <c r="M1081" s="1274" t="s">
        <v>301</v>
      </c>
      <c r="N1081" s="1276"/>
      <c r="O1081" s="1276"/>
    </row>
    <row r="1082" spans="1:15">
      <c r="B1082" s="334"/>
      <c r="C1082" s="725">
        <f>IF(D1076= "","-",D1076)</f>
        <v>2017</v>
      </c>
      <c r="D1082" s="676">
        <f>+D1075</f>
        <v>9292117</v>
      </c>
      <c r="E1082" s="1277">
        <f>+I1079/12*(12-D1077)</f>
        <v>0</v>
      </c>
      <c r="F1082" s="676">
        <f t="shared" ref="F1082:F1141" si="66">+D1082-E1082</f>
        <v>9292117</v>
      </c>
      <c r="G1082" s="1278">
        <f>+$I$988*((D1082+F1082)/2)+E1082</f>
        <v>1002678.7034556103</v>
      </c>
      <c r="H1082" s="1279">
        <f>+$I$989*((D1082+F1082)/2)+E1082</f>
        <v>1002678.7034556103</v>
      </c>
      <c r="I1082" s="729">
        <f t="shared" ref="I1082:I1141" si="67">+H1082-G1082</f>
        <v>0</v>
      </c>
      <c r="J1082" s="729"/>
      <c r="K1082" s="880"/>
      <c r="L1082" s="731"/>
      <c r="M1082" s="880"/>
      <c r="N1082" s="731"/>
      <c r="O1082" s="731"/>
    </row>
    <row r="1083" spans="1:15">
      <c r="B1083" s="334"/>
      <c r="C1083" s="1281">
        <f>IF(D1076="","-",+C1082+1)</f>
        <v>2018</v>
      </c>
      <c r="D1083" s="1282">
        <f t="shared" ref="D1083:D1141" si="68">F1082</f>
        <v>9292117</v>
      </c>
      <c r="E1083" s="1283">
        <f>IF(D1083&gt;$I$1079,$I$1079,D1083)</f>
        <v>157493.50847457626</v>
      </c>
      <c r="F1083" s="1282">
        <f t="shared" si="66"/>
        <v>9134623.4915254246</v>
      </c>
      <c r="G1083" s="1284">
        <f t="shared" ref="G1083:G1141" si="69">+$I$988*((D1083+F1083)/2)+E1083</f>
        <v>1151674.9347822578</v>
      </c>
      <c r="H1083" s="1285">
        <f t="shared" ref="H1083:H1141" si="70">+$I$989*((D1083+F1083)/2)+E1083</f>
        <v>1151674.9347822578</v>
      </c>
      <c r="I1083" s="1291">
        <f t="shared" si="67"/>
        <v>0</v>
      </c>
      <c r="J1083" s="729"/>
      <c r="K1083" s="881"/>
      <c r="L1083" s="735"/>
      <c r="M1083" s="881"/>
      <c r="N1083" s="735"/>
      <c r="O1083" s="735"/>
    </row>
    <row r="1084" spans="1:15">
      <c r="B1084" s="334"/>
      <c r="C1084" s="725">
        <f>IF(D1076="","-",+C1083+1)</f>
        <v>2019</v>
      </c>
      <c r="D1084" s="676">
        <f t="shared" si="68"/>
        <v>9134623.4915254246</v>
      </c>
      <c r="E1084" s="1283">
        <f t="shared" ref="E1084:E1141" si="71">IF(D1084&gt;$I$1079,$I$1079,D1084)</f>
        <v>157493.50847457626</v>
      </c>
      <c r="F1084" s="676">
        <f t="shared" si="66"/>
        <v>8977129.9830508493</v>
      </c>
      <c r="G1084" s="1277">
        <f t="shared" si="69"/>
        <v>1134680.3804863999</v>
      </c>
      <c r="H1084" s="1280">
        <f t="shared" si="70"/>
        <v>1134680.3804863999</v>
      </c>
      <c r="I1084" s="729">
        <f t="shared" si="67"/>
        <v>0</v>
      </c>
      <c r="J1084" s="729"/>
      <c r="K1084" s="1302"/>
      <c r="L1084" s="1290"/>
      <c r="M1084" s="1302"/>
      <c r="N1084" s="735"/>
      <c r="O1084" s="735"/>
    </row>
    <row r="1085" spans="1:15">
      <c r="B1085" s="334"/>
      <c r="C1085" s="725">
        <f>IF(D1076="","-",+C1084+1)</f>
        <v>2020</v>
      </c>
      <c r="D1085" s="676">
        <f t="shared" si="68"/>
        <v>8977129.9830508493</v>
      </c>
      <c r="E1085" s="1283">
        <f t="shared" si="71"/>
        <v>157493.50847457626</v>
      </c>
      <c r="F1085" s="676">
        <f t="shared" si="66"/>
        <v>8819636.4745762739</v>
      </c>
      <c r="G1085" s="1277">
        <f t="shared" si="69"/>
        <v>1117685.8261905424</v>
      </c>
      <c r="H1085" s="1280">
        <f t="shared" si="70"/>
        <v>1117685.8261905424</v>
      </c>
      <c r="I1085" s="729">
        <f t="shared" si="67"/>
        <v>0</v>
      </c>
      <c r="J1085" s="729"/>
      <c r="K1085" s="881"/>
      <c r="L1085" s="735"/>
      <c r="M1085" s="881"/>
      <c r="N1085" s="735"/>
      <c r="O1085" s="735"/>
    </row>
    <row r="1086" spans="1:15">
      <c r="B1086" s="334"/>
      <c r="C1086" s="725">
        <f>IF(D1076="","-",+C1085+1)</f>
        <v>2021</v>
      </c>
      <c r="D1086" s="676">
        <f t="shared" si="68"/>
        <v>8819636.4745762739</v>
      </c>
      <c r="E1086" s="1283">
        <f t="shared" si="71"/>
        <v>157493.50847457626</v>
      </c>
      <c r="F1086" s="676">
        <f t="shared" si="66"/>
        <v>8662142.9661016986</v>
      </c>
      <c r="G1086" s="1277">
        <f t="shared" si="69"/>
        <v>1100691.2718946845</v>
      </c>
      <c r="H1086" s="1280">
        <f t="shared" si="70"/>
        <v>1100691.2718946845</v>
      </c>
      <c r="I1086" s="729">
        <f t="shared" si="67"/>
        <v>0</v>
      </c>
      <c r="J1086" s="729"/>
      <c r="K1086" s="881"/>
      <c r="L1086" s="735"/>
      <c r="M1086" s="881"/>
      <c r="N1086" s="735"/>
      <c r="O1086" s="735"/>
    </row>
    <row r="1087" spans="1:15">
      <c r="B1087" s="334"/>
      <c r="C1087" s="725">
        <f>IF(D1076="","-",+C1086+1)</f>
        <v>2022</v>
      </c>
      <c r="D1087" s="676">
        <f t="shared" si="68"/>
        <v>8662142.9661016986</v>
      </c>
      <c r="E1087" s="1283">
        <f t="shared" si="71"/>
        <v>157493.50847457626</v>
      </c>
      <c r="F1087" s="676">
        <f t="shared" si="66"/>
        <v>8504649.4576271232</v>
      </c>
      <c r="G1087" s="1277">
        <f t="shared" si="69"/>
        <v>1083696.7175988269</v>
      </c>
      <c r="H1087" s="1280">
        <f t="shared" si="70"/>
        <v>1083696.7175988269</v>
      </c>
      <c r="I1087" s="729">
        <f t="shared" si="67"/>
        <v>0</v>
      </c>
      <c r="J1087" s="729"/>
      <c r="K1087" s="881"/>
      <c r="L1087" s="735"/>
      <c r="M1087" s="881"/>
      <c r="N1087" s="735"/>
      <c r="O1087" s="735"/>
    </row>
    <row r="1088" spans="1:15">
      <c r="B1088" s="334"/>
      <c r="C1088" s="725">
        <f>IF(D1076="","-",+C1087+1)</f>
        <v>2023</v>
      </c>
      <c r="D1088" s="676">
        <f t="shared" si="68"/>
        <v>8504649.4576271232</v>
      </c>
      <c r="E1088" s="1283">
        <f t="shared" si="71"/>
        <v>157493.50847457626</v>
      </c>
      <c r="F1088" s="676">
        <f t="shared" si="66"/>
        <v>8347155.9491525469</v>
      </c>
      <c r="G1088" s="1277">
        <f t="shared" si="69"/>
        <v>1066702.163302969</v>
      </c>
      <c r="H1088" s="1280">
        <f t="shared" si="70"/>
        <v>1066702.163302969</v>
      </c>
      <c r="I1088" s="729">
        <f t="shared" si="67"/>
        <v>0</v>
      </c>
      <c r="J1088" s="729"/>
      <c r="K1088" s="881"/>
      <c r="L1088" s="735"/>
      <c r="M1088" s="881"/>
      <c r="N1088" s="735"/>
      <c r="O1088" s="735"/>
    </row>
    <row r="1089" spans="2:15">
      <c r="B1089" s="334"/>
      <c r="C1089" s="1305">
        <f>IF(D1076="","-",+C1088+1)</f>
        <v>2024</v>
      </c>
      <c r="D1089" s="1282">
        <f t="shared" si="68"/>
        <v>8347155.9491525469</v>
      </c>
      <c r="E1089" s="1283">
        <f t="shared" si="71"/>
        <v>157493.50847457626</v>
      </c>
      <c r="F1089" s="1282">
        <f t="shared" si="66"/>
        <v>8189662.4406779706</v>
      </c>
      <c r="G1089" s="1284">
        <f t="shared" si="69"/>
        <v>1049707.6090071113</v>
      </c>
      <c r="H1089" s="1285">
        <f t="shared" si="70"/>
        <v>1049707.6090071113</v>
      </c>
      <c r="I1089" s="1291">
        <f t="shared" si="67"/>
        <v>0</v>
      </c>
      <c r="J1089" s="729"/>
      <c r="K1089" s="881"/>
      <c r="L1089" s="735"/>
      <c r="M1089" s="881"/>
      <c r="N1089" s="735"/>
      <c r="O1089" s="735"/>
    </row>
    <row r="1090" spans="2:15">
      <c r="B1090" s="334"/>
      <c r="C1090" s="725">
        <f>IF(D1076="","-",+C1089+1)</f>
        <v>2025</v>
      </c>
      <c r="D1090" s="676">
        <f t="shared" si="68"/>
        <v>8189662.4406779706</v>
      </c>
      <c r="E1090" s="1283">
        <f t="shared" si="71"/>
        <v>157493.50847457626</v>
      </c>
      <c r="F1090" s="676">
        <f t="shared" si="66"/>
        <v>8032168.9322033944</v>
      </c>
      <c r="G1090" s="1277">
        <f t="shared" si="69"/>
        <v>1032713.0547112535</v>
      </c>
      <c r="H1090" s="1280">
        <f t="shared" si="70"/>
        <v>1032713.0547112535</v>
      </c>
      <c r="I1090" s="729">
        <f t="shared" si="67"/>
        <v>0</v>
      </c>
      <c r="J1090" s="729"/>
      <c r="K1090" s="881"/>
      <c r="L1090" s="735"/>
      <c r="M1090" s="881"/>
      <c r="N1090" s="735"/>
      <c r="O1090" s="735"/>
    </row>
    <row r="1091" spans="2:15">
      <c r="B1091" s="334"/>
      <c r="C1091" s="725">
        <f>IF(D1076="","-",+C1090+1)</f>
        <v>2026</v>
      </c>
      <c r="D1091" s="676">
        <f t="shared" si="68"/>
        <v>8032168.9322033944</v>
      </c>
      <c r="E1091" s="1283">
        <f t="shared" si="71"/>
        <v>157493.50847457626</v>
      </c>
      <c r="F1091" s="676">
        <f t="shared" si="66"/>
        <v>7874675.4237288181</v>
      </c>
      <c r="G1091" s="1277">
        <f t="shared" si="69"/>
        <v>1015718.5004153958</v>
      </c>
      <c r="H1091" s="1280">
        <f t="shared" si="70"/>
        <v>1015718.5004153958</v>
      </c>
      <c r="I1091" s="729">
        <f t="shared" si="67"/>
        <v>0</v>
      </c>
      <c r="J1091" s="729"/>
      <c r="K1091" s="881"/>
      <c r="L1091" s="735"/>
      <c r="M1091" s="881"/>
      <c r="N1091" s="735"/>
      <c r="O1091" s="735"/>
    </row>
    <row r="1092" spans="2:15">
      <c r="B1092" s="334"/>
      <c r="C1092" s="725">
        <f>IF(D1076="","-",+C1091+1)</f>
        <v>2027</v>
      </c>
      <c r="D1092" s="676">
        <f t="shared" si="68"/>
        <v>7874675.4237288181</v>
      </c>
      <c r="E1092" s="1283">
        <f t="shared" si="71"/>
        <v>157493.50847457626</v>
      </c>
      <c r="F1092" s="676">
        <f t="shared" si="66"/>
        <v>7717181.9152542418</v>
      </c>
      <c r="G1092" s="1277">
        <f t="shared" si="69"/>
        <v>998723.94611953793</v>
      </c>
      <c r="H1092" s="1280">
        <f t="shared" si="70"/>
        <v>998723.94611953793</v>
      </c>
      <c r="I1092" s="729">
        <f t="shared" si="67"/>
        <v>0</v>
      </c>
      <c r="J1092" s="729"/>
      <c r="K1092" s="881"/>
      <c r="L1092" s="735"/>
      <c r="M1092" s="881"/>
      <c r="N1092" s="735"/>
      <c r="O1092" s="735"/>
    </row>
    <row r="1093" spans="2:15">
      <c r="B1093" s="334"/>
      <c r="C1093" s="725">
        <f>IF(D1076="","-",+C1092+1)</f>
        <v>2028</v>
      </c>
      <c r="D1093" s="676">
        <f t="shared" si="68"/>
        <v>7717181.9152542418</v>
      </c>
      <c r="E1093" s="1283">
        <f t="shared" si="71"/>
        <v>157493.50847457626</v>
      </c>
      <c r="F1093" s="676">
        <f t="shared" si="66"/>
        <v>7559688.4067796655</v>
      </c>
      <c r="G1093" s="1277">
        <f t="shared" si="69"/>
        <v>981729.39182368014</v>
      </c>
      <c r="H1093" s="1280">
        <f t="shared" si="70"/>
        <v>981729.39182368014</v>
      </c>
      <c r="I1093" s="729">
        <f t="shared" si="67"/>
        <v>0</v>
      </c>
      <c r="J1093" s="729"/>
      <c r="K1093" s="881"/>
      <c r="L1093" s="735"/>
      <c r="M1093" s="881"/>
      <c r="N1093" s="735"/>
      <c r="O1093" s="735"/>
    </row>
    <row r="1094" spans="2:15">
      <c r="B1094" s="334"/>
      <c r="C1094" s="725">
        <f>IF(D1076="","-",+C1093+1)</f>
        <v>2029</v>
      </c>
      <c r="D1094" s="676">
        <f t="shared" si="68"/>
        <v>7559688.4067796655</v>
      </c>
      <c r="E1094" s="1283">
        <f t="shared" si="71"/>
        <v>157493.50847457626</v>
      </c>
      <c r="F1094" s="676">
        <f t="shared" si="66"/>
        <v>7402194.8983050892</v>
      </c>
      <c r="G1094" s="1277">
        <f t="shared" si="69"/>
        <v>964734.83752782224</v>
      </c>
      <c r="H1094" s="1280">
        <f t="shared" si="70"/>
        <v>964734.83752782224</v>
      </c>
      <c r="I1094" s="729">
        <f t="shared" si="67"/>
        <v>0</v>
      </c>
      <c r="J1094" s="729"/>
      <c r="K1094" s="881"/>
      <c r="L1094" s="735"/>
      <c r="M1094" s="881"/>
      <c r="N1094" s="736"/>
      <c r="O1094" s="735"/>
    </row>
    <row r="1095" spans="2:15">
      <c r="B1095" s="334"/>
      <c r="C1095" s="725">
        <f>IF(D1076="","-",+C1094+1)</f>
        <v>2030</v>
      </c>
      <c r="D1095" s="676">
        <f t="shared" si="68"/>
        <v>7402194.8983050892</v>
      </c>
      <c r="E1095" s="1283">
        <f t="shared" si="71"/>
        <v>157493.50847457626</v>
      </c>
      <c r="F1095" s="676">
        <f t="shared" si="66"/>
        <v>7244701.3898305129</v>
      </c>
      <c r="G1095" s="1277">
        <f t="shared" si="69"/>
        <v>947740.28323196457</v>
      </c>
      <c r="H1095" s="1280">
        <f t="shared" si="70"/>
        <v>947740.28323196457</v>
      </c>
      <c r="I1095" s="729">
        <f t="shared" si="67"/>
        <v>0</v>
      </c>
      <c r="J1095" s="729"/>
      <c r="K1095" s="881"/>
      <c r="L1095" s="735"/>
      <c r="M1095" s="881"/>
      <c r="N1095" s="735"/>
      <c r="O1095" s="735"/>
    </row>
    <row r="1096" spans="2:15">
      <c r="B1096" s="334"/>
      <c r="C1096" s="725">
        <f>IF(D1076="","-",+C1095+1)</f>
        <v>2031</v>
      </c>
      <c r="D1096" s="676">
        <f t="shared" si="68"/>
        <v>7244701.3898305129</v>
      </c>
      <c r="E1096" s="1283">
        <f t="shared" si="71"/>
        <v>157493.50847457626</v>
      </c>
      <c r="F1096" s="676">
        <f t="shared" si="66"/>
        <v>7087207.8813559366</v>
      </c>
      <c r="G1096" s="1277">
        <f t="shared" si="69"/>
        <v>930745.72893610667</v>
      </c>
      <c r="H1096" s="1280">
        <f t="shared" si="70"/>
        <v>930745.72893610667</v>
      </c>
      <c r="I1096" s="729">
        <f t="shared" si="67"/>
        <v>0</v>
      </c>
      <c r="J1096" s="729"/>
      <c r="K1096" s="881"/>
      <c r="L1096" s="735"/>
      <c r="M1096" s="881"/>
      <c r="N1096" s="735"/>
      <c r="O1096" s="735"/>
    </row>
    <row r="1097" spans="2:15">
      <c r="B1097" s="334"/>
      <c r="C1097" s="725">
        <f>IF(D1076="","-",+C1096+1)</f>
        <v>2032</v>
      </c>
      <c r="D1097" s="676">
        <f t="shared" si="68"/>
        <v>7087207.8813559366</v>
      </c>
      <c r="E1097" s="1283">
        <f t="shared" si="71"/>
        <v>157493.50847457626</v>
      </c>
      <c r="F1097" s="676">
        <f t="shared" si="66"/>
        <v>6929714.3728813604</v>
      </c>
      <c r="G1097" s="1277">
        <f t="shared" si="69"/>
        <v>913751.174640249</v>
      </c>
      <c r="H1097" s="1280">
        <f t="shared" si="70"/>
        <v>913751.174640249</v>
      </c>
      <c r="I1097" s="729">
        <f t="shared" si="67"/>
        <v>0</v>
      </c>
      <c r="J1097" s="729"/>
      <c r="K1097" s="881"/>
      <c r="L1097" s="735"/>
      <c r="M1097" s="881"/>
      <c r="N1097" s="735"/>
      <c r="O1097" s="735"/>
    </row>
    <row r="1098" spans="2:15">
      <c r="B1098" s="334"/>
      <c r="C1098" s="725">
        <f>IF(D1076="","-",+C1097+1)</f>
        <v>2033</v>
      </c>
      <c r="D1098" s="676">
        <f t="shared" si="68"/>
        <v>6929714.3728813604</v>
      </c>
      <c r="E1098" s="1283">
        <f t="shared" si="71"/>
        <v>157493.50847457626</v>
      </c>
      <c r="F1098" s="676">
        <f t="shared" si="66"/>
        <v>6772220.8644067841</v>
      </c>
      <c r="G1098" s="1277">
        <f t="shared" si="69"/>
        <v>896756.62034439109</v>
      </c>
      <c r="H1098" s="1280">
        <f t="shared" si="70"/>
        <v>896756.62034439109</v>
      </c>
      <c r="I1098" s="729">
        <f t="shared" si="67"/>
        <v>0</v>
      </c>
      <c r="J1098" s="729"/>
      <c r="K1098" s="881"/>
      <c r="L1098" s="735"/>
      <c r="M1098" s="881"/>
      <c r="N1098" s="735"/>
      <c r="O1098" s="735"/>
    </row>
    <row r="1099" spans="2:15">
      <c r="B1099" s="334"/>
      <c r="C1099" s="725">
        <f>IF(D1076="","-",+C1098+1)</f>
        <v>2034</v>
      </c>
      <c r="D1099" s="676">
        <f t="shared" si="68"/>
        <v>6772220.8644067841</v>
      </c>
      <c r="E1099" s="1283">
        <f t="shared" si="71"/>
        <v>157493.50847457626</v>
      </c>
      <c r="F1099" s="676">
        <f t="shared" si="66"/>
        <v>6614727.3559322078</v>
      </c>
      <c r="G1099" s="1277">
        <f t="shared" si="69"/>
        <v>879762.06604853342</v>
      </c>
      <c r="H1099" s="1280">
        <f t="shared" si="70"/>
        <v>879762.06604853342</v>
      </c>
      <c r="I1099" s="729">
        <f t="shared" si="67"/>
        <v>0</v>
      </c>
      <c r="J1099" s="729"/>
      <c r="K1099" s="881"/>
      <c r="L1099" s="735"/>
      <c r="M1099" s="881"/>
      <c r="N1099" s="735"/>
      <c r="O1099" s="735"/>
    </row>
    <row r="1100" spans="2:15">
      <c r="B1100" s="334"/>
      <c r="C1100" s="725">
        <f>IF(D1076="","-",+C1099+1)</f>
        <v>2035</v>
      </c>
      <c r="D1100" s="676">
        <f t="shared" si="68"/>
        <v>6614727.3559322078</v>
      </c>
      <c r="E1100" s="1283">
        <f t="shared" si="71"/>
        <v>157493.50847457626</v>
      </c>
      <c r="F1100" s="676">
        <f t="shared" si="66"/>
        <v>6457233.8474576315</v>
      </c>
      <c r="G1100" s="1277">
        <f t="shared" si="69"/>
        <v>862767.51175267552</v>
      </c>
      <c r="H1100" s="1280">
        <f t="shared" si="70"/>
        <v>862767.51175267552</v>
      </c>
      <c r="I1100" s="729">
        <f t="shared" si="67"/>
        <v>0</v>
      </c>
      <c r="J1100" s="729"/>
      <c r="K1100" s="881"/>
      <c r="L1100" s="735"/>
      <c r="M1100" s="881"/>
      <c r="N1100" s="735"/>
      <c r="O1100" s="735"/>
    </row>
    <row r="1101" spans="2:15">
      <c r="B1101" s="334"/>
      <c r="C1101" s="725">
        <f>IF(D1076="","-",+C1100+1)</f>
        <v>2036</v>
      </c>
      <c r="D1101" s="676">
        <f t="shared" si="68"/>
        <v>6457233.8474576315</v>
      </c>
      <c r="E1101" s="1283">
        <f t="shared" si="71"/>
        <v>157493.50847457626</v>
      </c>
      <c r="F1101" s="676">
        <f t="shared" si="66"/>
        <v>6299740.3389830552</v>
      </c>
      <c r="G1101" s="1277">
        <f t="shared" si="69"/>
        <v>845772.95745681773</v>
      </c>
      <c r="H1101" s="1280">
        <f t="shared" si="70"/>
        <v>845772.95745681773</v>
      </c>
      <c r="I1101" s="729">
        <f t="shared" si="67"/>
        <v>0</v>
      </c>
      <c r="J1101" s="729"/>
      <c r="K1101" s="881"/>
      <c r="L1101" s="735"/>
      <c r="M1101" s="881"/>
      <c r="N1101" s="735"/>
      <c r="O1101" s="735"/>
    </row>
    <row r="1102" spans="2:15">
      <c r="B1102" s="334"/>
      <c r="C1102" s="725">
        <f>IF(D1076="","-",+C1101+1)</f>
        <v>2037</v>
      </c>
      <c r="D1102" s="676">
        <f t="shared" si="68"/>
        <v>6299740.3389830552</v>
      </c>
      <c r="E1102" s="1283">
        <f t="shared" si="71"/>
        <v>157493.50847457626</v>
      </c>
      <c r="F1102" s="676">
        <f t="shared" si="66"/>
        <v>6142246.8305084789</v>
      </c>
      <c r="G1102" s="1277">
        <f t="shared" si="69"/>
        <v>828778.40316095983</v>
      </c>
      <c r="H1102" s="1280">
        <f t="shared" si="70"/>
        <v>828778.40316095983</v>
      </c>
      <c r="I1102" s="729">
        <f t="shared" si="67"/>
        <v>0</v>
      </c>
      <c r="J1102" s="729"/>
      <c r="K1102" s="881"/>
      <c r="L1102" s="735"/>
      <c r="M1102" s="881"/>
      <c r="N1102" s="735"/>
      <c r="O1102" s="735"/>
    </row>
    <row r="1103" spans="2:15">
      <c r="B1103" s="334"/>
      <c r="C1103" s="725">
        <f>IF(D1076="","-",+C1102+1)</f>
        <v>2038</v>
      </c>
      <c r="D1103" s="676">
        <f t="shared" si="68"/>
        <v>6142246.8305084789</v>
      </c>
      <c r="E1103" s="1283">
        <f t="shared" si="71"/>
        <v>157493.50847457626</v>
      </c>
      <c r="F1103" s="676">
        <f t="shared" si="66"/>
        <v>5984753.3220339026</v>
      </c>
      <c r="G1103" s="1277">
        <f t="shared" si="69"/>
        <v>811783.84886510216</v>
      </c>
      <c r="H1103" s="1280">
        <f t="shared" si="70"/>
        <v>811783.84886510216</v>
      </c>
      <c r="I1103" s="729">
        <f t="shared" si="67"/>
        <v>0</v>
      </c>
      <c r="J1103" s="729"/>
      <c r="K1103" s="881"/>
      <c r="L1103" s="735"/>
      <c r="M1103" s="881"/>
      <c r="N1103" s="735"/>
      <c r="O1103" s="735"/>
    </row>
    <row r="1104" spans="2:15">
      <c r="B1104" s="334"/>
      <c r="C1104" s="725">
        <f>IF(D1076="","-",+C1103+1)</f>
        <v>2039</v>
      </c>
      <c r="D1104" s="676">
        <f t="shared" si="68"/>
        <v>5984753.3220339026</v>
      </c>
      <c r="E1104" s="1283">
        <f t="shared" si="71"/>
        <v>157493.50847457626</v>
      </c>
      <c r="F1104" s="676">
        <f t="shared" si="66"/>
        <v>5827259.8135593263</v>
      </c>
      <c r="G1104" s="1277">
        <f t="shared" si="69"/>
        <v>794789.29456924426</v>
      </c>
      <c r="H1104" s="1280">
        <f t="shared" si="70"/>
        <v>794789.29456924426</v>
      </c>
      <c r="I1104" s="729">
        <f t="shared" si="67"/>
        <v>0</v>
      </c>
      <c r="J1104" s="729"/>
      <c r="K1104" s="881"/>
      <c r="L1104" s="735"/>
      <c r="M1104" s="881"/>
      <c r="N1104" s="735"/>
      <c r="O1104" s="735"/>
    </row>
    <row r="1105" spans="2:15">
      <c r="B1105" s="334"/>
      <c r="C1105" s="725">
        <f>IF(D1076="","-",+C1104+1)</f>
        <v>2040</v>
      </c>
      <c r="D1105" s="676">
        <f t="shared" si="68"/>
        <v>5827259.8135593263</v>
      </c>
      <c r="E1105" s="1283">
        <f t="shared" si="71"/>
        <v>157493.50847457626</v>
      </c>
      <c r="F1105" s="676">
        <f t="shared" si="66"/>
        <v>5669766.3050847501</v>
      </c>
      <c r="G1105" s="1277">
        <f t="shared" si="69"/>
        <v>777794.74027338659</v>
      </c>
      <c r="H1105" s="1280">
        <f t="shared" si="70"/>
        <v>777794.74027338659</v>
      </c>
      <c r="I1105" s="729">
        <f t="shared" si="67"/>
        <v>0</v>
      </c>
      <c r="J1105" s="729"/>
      <c r="K1105" s="881"/>
      <c r="L1105" s="735"/>
      <c r="M1105" s="881"/>
      <c r="N1105" s="735"/>
      <c r="O1105" s="735"/>
    </row>
    <row r="1106" spans="2:15">
      <c r="B1106" s="334"/>
      <c r="C1106" s="725">
        <f>IF(D1076="","-",+C1105+1)</f>
        <v>2041</v>
      </c>
      <c r="D1106" s="676">
        <f t="shared" si="68"/>
        <v>5669766.3050847501</v>
      </c>
      <c r="E1106" s="1283">
        <f t="shared" si="71"/>
        <v>157493.50847457626</v>
      </c>
      <c r="F1106" s="676">
        <f t="shared" si="66"/>
        <v>5512272.7966101738</v>
      </c>
      <c r="G1106" s="1277">
        <f t="shared" si="69"/>
        <v>760800.18597752869</v>
      </c>
      <c r="H1106" s="1280">
        <f t="shared" si="70"/>
        <v>760800.18597752869</v>
      </c>
      <c r="I1106" s="729">
        <f t="shared" si="67"/>
        <v>0</v>
      </c>
      <c r="J1106" s="729"/>
      <c r="K1106" s="881"/>
      <c r="L1106" s="735"/>
      <c r="M1106" s="881"/>
      <c r="N1106" s="735"/>
      <c r="O1106" s="735"/>
    </row>
    <row r="1107" spans="2:15">
      <c r="B1107" s="334"/>
      <c r="C1107" s="725">
        <f>IF(D1076="","-",+C1106+1)</f>
        <v>2042</v>
      </c>
      <c r="D1107" s="676">
        <f t="shared" si="68"/>
        <v>5512272.7966101738</v>
      </c>
      <c r="E1107" s="1283">
        <f t="shared" si="71"/>
        <v>157493.50847457626</v>
      </c>
      <c r="F1107" s="676">
        <f t="shared" si="66"/>
        <v>5354779.2881355975</v>
      </c>
      <c r="G1107" s="1277">
        <f t="shared" si="69"/>
        <v>743805.6316816709</v>
      </c>
      <c r="H1107" s="1280">
        <f t="shared" si="70"/>
        <v>743805.6316816709</v>
      </c>
      <c r="I1107" s="729">
        <f t="shared" si="67"/>
        <v>0</v>
      </c>
      <c r="J1107" s="729"/>
      <c r="K1107" s="881"/>
      <c r="L1107" s="735"/>
      <c r="M1107" s="881"/>
      <c r="N1107" s="735"/>
      <c r="O1107" s="735"/>
    </row>
    <row r="1108" spans="2:15">
      <c r="B1108" s="334"/>
      <c r="C1108" s="725">
        <f>IF(D1076="","-",+C1107+1)</f>
        <v>2043</v>
      </c>
      <c r="D1108" s="676">
        <f t="shared" si="68"/>
        <v>5354779.2881355975</v>
      </c>
      <c r="E1108" s="1283">
        <f t="shared" si="71"/>
        <v>157493.50847457626</v>
      </c>
      <c r="F1108" s="676">
        <f t="shared" si="66"/>
        <v>5197285.7796610212</v>
      </c>
      <c r="G1108" s="1277">
        <f t="shared" si="69"/>
        <v>726811.077385813</v>
      </c>
      <c r="H1108" s="1280">
        <f t="shared" si="70"/>
        <v>726811.077385813</v>
      </c>
      <c r="I1108" s="729">
        <f t="shared" si="67"/>
        <v>0</v>
      </c>
      <c r="J1108" s="729"/>
      <c r="K1108" s="881"/>
      <c r="L1108" s="735"/>
      <c r="M1108" s="881"/>
      <c r="N1108" s="735"/>
      <c r="O1108" s="735"/>
    </row>
    <row r="1109" spans="2:15">
      <c r="B1109" s="334"/>
      <c r="C1109" s="725">
        <f>IF(D1076="","-",+C1108+1)</f>
        <v>2044</v>
      </c>
      <c r="D1109" s="676">
        <f t="shared" si="68"/>
        <v>5197285.7796610212</v>
      </c>
      <c r="E1109" s="1283">
        <f t="shared" si="71"/>
        <v>157493.50847457626</v>
      </c>
      <c r="F1109" s="676">
        <f t="shared" si="66"/>
        <v>5039792.2711864449</v>
      </c>
      <c r="G1109" s="1277">
        <f t="shared" si="69"/>
        <v>709816.52308995533</v>
      </c>
      <c r="H1109" s="1280">
        <f t="shared" si="70"/>
        <v>709816.52308995533</v>
      </c>
      <c r="I1109" s="729">
        <f t="shared" si="67"/>
        <v>0</v>
      </c>
      <c r="J1109" s="729"/>
      <c r="K1109" s="881"/>
      <c r="L1109" s="735"/>
      <c r="M1109" s="881"/>
      <c r="N1109" s="735"/>
      <c r="O1109" s="735"/>
    </row>
    <row r="1110" spans="2:15">
      <c r="B1110" s="334"/>
      <c r="C1110" s="725">
        <f>IF(D1076="","-",+C1109+1)</f>
        <v>2045</v>
      </c>
      <c r="D1110" s="676">
        <f t="shared" si="68"/>
        <v>5039792.2711864449</v>
      </c>
      <c r="E1110" s="1283">
        <f t="shared" si="71"/>
        <v>157493.50847457626</v>
      </c>
      <c r="F1110" s="676">
        <f t="shared" si="66"/>
        <v>4882298.7627118686</v>
      </c>
      <c r="G1110" s="1286">
        <f t="shared" si="69"/>
        <v>692821.96879409743</v>
      </c>
      <c r="H1110" s="1280">
        <f t="shared" si="70"/>
        <v>692821.96879409743</v>
      </c>
      <c r="I1110" s="729">
        <f t="shared" si="67"/>
        <v>0</v>
      </c>
      <c r="J1110" s="729"/>
      <c r="K1110" s="881"/>
      <c r="L1110" s="735"/>
      <c r="M1110" s="881"/>
      <c r="N1110" s="735"/>
      <c r="O1110" s="735"/>
    </row>
    <row r="1111" spans="2:15">
      <c r="B1111" s="334"/>
      <c r="C1111" s="725">
        <f>IF(D1076="","-",+C1110+1)</f>
        <v>2046</v>
      </c>
      <c r="D1111" s="676">
        <f t="shared" si="68"/>
        <v>4882298.7627118686</v>
      </c>
      <c r="E1111" s="1283">
        <f t="shared" si="71"/>
        <v>157493.50847457626</v>
      </c>
      <c r="F1111" s="676">
        <f t="shared" si="66"/>
        <v>4724805.2542372923</v>
      </c>
      <c r="G1111" s="1277">
        <f t="shared" si="69"/>
        <v>675827.41449823976</v>
      </c>
      <c r="H1111" s="1280">
        <f t="shared" si="70"/>
        <v>675827.41449823976</v>
      </c>
      <c r="I1111" s="729">
        <f t="shared" si="67"/>
        <v>0</v>
      </c>
      <c r="J1111" s="729"/>
      <c r="K1111" s="881"/>
      <c r="L1111" s="735"/>
      <c r="M1111" s="881"/>
      <c r="N1111" s="735"/>
      <c r="O1111" s="735"/>
    </row>
    <row r="1112" spans="2:15">
      <c r="B1112" s="334"/>
      <c r="C1112" s="725">
        <f>IF(D1076="","-",+C1111+1)</f>
        <v>2047</v>
      </c>
      <c r="D1112" s="676">
        <f t="shared" si="68"/>
        <v>4724805.2542372923</v>
      </c>
      <c r="E1112" s="1283">
        <f t="shared" si="71"/>
        <v>157493.50847457626</v>
      </c>
      <c r="F1112" s="676">
        <f t="shared" si="66"/>
        <v>4567311.745762716</v>
      </c>
      <c r="G1112" s="1277">
        <f t="shared" si="69"/>
        <v>658832.86020238185</v>
      </c>
      <c r="H1112" s="1280">
        <f t="shared" si="70"/>
        <v>658832.86020238185</v>
      </c>
      <c r="I1112" s="729">
        <f t="shared" si="67"/>
        <v>0</v>
      </c>
      <c r="J1112" s="729"/>
      <c r="K1112" s="881"/>
      <c r="L1112" s="735"/>
      <c r="M1112" s="881"/>
      <c r="N1112" s="735"/>
      <c r="O1112" s="735"/>
    </row>
    <row r="1113" spans="2:15">
      <c r="B1113" s="334"/>
      <c r="C1113" s="725">
        <f>IF(D1076="","-",+C1112+1)</f>
        <v>2048</v>
      </c>
      <c r="D1113" s="676">
        <f t="shared" si="68"/>
        <v>4567311.745762716</v>
      </c>
      <c r="E1113" s="1283">
        <f t="shared" si="71"/>
        <v>157493.50847457626</v>
      </c>
      <c r="F1113" s="676">
        <f t="shared" si="66"/>
        <v>4409818.2372881398</v>
      </c>
      <c r="G1113" s="1277">
        <f t="shared" si="69"/>
        <v>641838.30590652407</v>
      </c>
      <c r="H1113" s="1280">
        <f t="shared" si="70"/>
        <v>641838.30590652407</v>
      </c>
      <c r="I1113" s="729">
        <f t="shared" si="67"/>
        <v>0</v>
      </c>
      <c r="J1113" s="729"/>
      <c r="K1113" s="881"/>
      <c r="L1113" s="735"/>
      <c r="M1113" s="881"/>
      <c r="N1113" s="735"/>
      <c r="O1113" s="735"/>
    </row>
    <row r="1114" spans="2:15">
      <c r="B1114" s="334"/>
      <c r="C1114" s="725">
        <f>IF(D1076="","-",+C1113+1)</f>
        <v>2049</v>
      </c>
      <c r="D1114" s="676">
        <f t="shared" si="68"/>
        <v>4409818.2372881398</v>
      </c>
      <c r="E1114" s="1283">
        <f t="shared" si="71"/>
        <v>157493.50847457626</v>
      </c>
      <c r="F1114" s="676">
        <f t="shared" si="66"/>
        <v>4252324.7288135635</v>
      </c>
      <c r="G1114" s="1277">
        <f t="shared" si="69"/>
        <v>624843.75161066616</v>
      </c>
      <c r="H1114" s="1280">
        <f t="shared" si="70"/>
        <v>624843.75161066616</v>
      </c>
      <c r="I1114" s="729">
        <f t="shared" si="67"/>
        <v>0</v>
      </c>
      <c r="J1114" s="729"/>
      <c r="K1114" s="881"/>
      <c r="L1114" s="735"/>
      <c r="M1114" s="881"/>
      <c r="N1114" s="735"/>
      <c r="O1114" s="735"/>
    </row>
    <row r="1115" spans="2:15">
      <c r="B1115" s="334"/>
      <c r="C1115" s="725">
        <f>IF(D1076="","-",+C1114+1)</f>
        <v>2050</v>
      </c>
      <c r="D1115" s="676">
        <f t="shared" si="68"/>
        <v>4252324.7288135635</v>
      </c>
      <c r="E1115" s="1283">
        <f t="shared" si="71"/>
        <v>157493.50847457626</v>
      </c>
      <c r="F1115" s="676">
        <f t="shared" si="66"/>
        <v>4094831.2203389872</v>
      </c>
      <c r="G1115" s="1277">
        <f t="shared" si="69"/>
        <v>607849.19731480849</v>
      </c>
      <c r="H1115" s="1280">
        <f t="shared" si="70"/>
        <v>607849.19731480849</v>
      </c>
      <c r="I1115" s="729">
        <f t="shared" si="67"/>
        <v>0</v>
      </c>
      <c r="J1115" s="729"/>
      <c r="K1115" s="881"/>
      <c r="L1115" s="735"/>
      <c r="M1115" s="881"/>
      <c r="N1115" s="735"/>
      <c r="O1115" s="735"/>
    </row>
    <row r="1116" spans="2:15">
      <c r="B1116" s="334"/>
      <c r="C1116" s="725">
        <f>IF(D1076="","-",+C1115+1)</f>
        <v>2051</v>
      </c>
      <c r="D1116" s="676">
        <f t="shared" si="68"/>
        <v>4094831.2203389872</v>
      </c>
      <c r="E1116" s="1283">
        <f t="shared" si="71"/>
        <v>157493.50847457626</v>
      </c>
      <c r="F1116" s="676">
        <f t="shared" si="66"/>
        <v>3937337.7118644109</v>
      </c>
      <c r="G1116" s="1277">
        <f t="shared" si="69"/>
        <v>590854.64301895059</v>
      </c>
      <c r="H1116" s="1280">
        <f t="shared" si="70"/>
        <v>590854.64301895059</v>
      </c>
      <c r="I1116" s="729">
        <f t="shared" si="67"/>
        <v>0</v>
      </c>
      <c r="J1116" s="729"/>
      <c r="K1116" s="881"/>
      <c r="L1116" s="735"/>
      <c r="M1116" s="881"/>
      <c r="N1116" s="735"/>
      <c r="O1116" s="735"/>
    </row>
    <row r="1117" spans="2:15">
      <c r="B1117" s="334"/>
      <c r="C1117" s="725">
        <f>IF(D1076="","-",+C1116+1)</f>
        <v>2052</v>
      </c>
      <c r="D1117" s="676">
        <f t="shared" si="68"/>
        <v>3937337.7118644109</v>
      </c>
      <c r="E1117" s="1283">
        <f t="shared" si="71"/>
        <v>157493.50847457626</v>
      </c>
      <c r="F1117" s="676">
        <f t="shared" si="66"/>
        <v>3779844.2033898346</v>
      </c>
      <c r="G1117" s="1277">
        <f t="shared" si="69"/>
        <v>573860.08872309281</v>
      </c>
      <c r="H1117" s="1280">
        <f t="shared" si="70"/>
        <v>573860.08872309281</v>
      </c>
      <c r="I1117" s="729">
        <f t="shared" si="67"/>
        <v>0</v>
      </c>
      <c r="J1117" s="729"/>
      <c r="K1117" s="881"/>
      <c r="L1117" s="735"/>
      <c r="M1117" s="881"/>
      <c r="N1117" s="735"/>
      <c r="O1117" s="735"/>
    </row>
    <row r="1118" spans="2:15">
      <c r="B1118" s="334"/>
      <c r="C1118" s="725">
        <f>IF(D1076="","-",+C1117+1)</f>
        <v>2053</v>
      </c>
      <c r="D1118" s="676">
        <f t="shared" si="68"/>
        <v>3779844.2033898346</v>
      </c>
      <c r="E1118" s="1283">
        <f t="shared" si="71"/>
        <v>157493.50847457626</v>
      </c>
      <c r="F1118" s="676">
        <f t="shared" si="66"/>
        <v>3622350.6949152583</v>
      </c>
      <c r="G1118" s="1277">
        <f t="shared" si="69"/>
        <v>556865.53442723502</v>
      </c>
      <c r="H1118" s="1280">
        <f t="shared" si="70"/>
        <v>556865.53442723502</v>
      </c>
      <c r="I1118" s="729">
        <f t="shared" si="67"/>
        <v>0</v>
      </c>
      <c r="J1118" s="729"/>
      <c r="K1118" s="881"/>
      <c r="L1118" s="735"/>
      <c r="M1118" s="881"/>
      <c r="N1118" s="735"/>
      <c r="O1118" s="735"/>
    </row>
    <row r="1119" spans="2:15">
      <c r="B1119" s="334"/>
      <c r="C1119" s="725">
        <f>IF(D1076="","-",+C1118+1)</f>
        <v>2054</v>
      </c>
      <c r="D1119" s="676">
        <f t="shared" si="68"/>
        <v>3622350.6949152583</v>
      </c>
      <c r="E1119" s="1283">
        <f t="shared" si="71"/>
        <v>157493.50847457626</v>
      </c>
      <c r="F1119" s="676">
        <f t="shared" si="66"/>
        <v>3464857.186440682</v>
      </c>
      <c r="G1119" s="1277">
        <f t="shared" si="69"/>
        <v>539870.98013137723</v>
      </c>
      <c r="H1119" s="1280">
        <f t="shared" si="70"/>
        <v>539870.98013137723</v>
      </c>
      <c r="I1119" s="729">
        <f t="shared" si="67"/>
        <v>0</v>
      </c>
      <c r="J1119" s="729"/>
      <c r="K1119" s="881"/>
      <c r="L1119" s="735"/>
      <c r="M1119" s="881"/>
      <c r="N1119" s="735"/>
      <c r="O1119" s="735"/>
    </row>
    <row r="1120" spans="2:15">
      <c r="B1120" s="334"/>
      <c r="C1120" s="725">
        <f>IF(D1076="","-",+C1119+1)</f>
        <v>2055</v>
      </c>
      <c r="D1120" s="676">
        <f t="shared" si="68"/>
        <v>3464857.186440682</v>
      </c>
      <c r="E1120" s="1283">
        <f t="shared" si="71"/>
        <v>157493.50847457626</v>
      </c>
      <c r="F1120" s="676">
        <f t="shared" si="66"/>
        <v>3307363.6779661058</v>
      </c>
      <c r="G1120" s="1277">
        <f t="shared" si="69"/>
        <v>522876.42583551945</v>
      </c>
      <c r="H1120" s="1280">
        <f t="shared" si="70"/>
        <v>522876.42583551945</v>
      </c>
      <c r="I1120" s="729">
        <f t="shared" si="67"/>
        <v>0</v>
      </c>
      <c r="J1120" s="729"/>
      <c r="K1120" s="881"/>
      <c r="L1120" s="735"/>
      <c r="M1120" s="881"/>
      <c r="N1120" s="735"/>
      <c r="O1120" s="735"/>
    </row>
    <row r="1121" spans="2:15">
      <c r="B1121" s="334"/>
      <c r="C1121" s="725">
        <f>IF(D1076="","-",+C1120+1)</f>
        <v>2056</v>
      </c>
      <c r="D1121" s="676">
        <f t="shared" si="68"/>
        <v>3307363.6779661058</v>
      </c>
      <c r="E1121" s="1283">
        <f t="shared" si="71"/>
        <v>157493.50847457626</v>
      </c>
      <c r="F1121" s="676">
        <f t="shared" si="66"/>
        <v>3149870.1694915295</v>
      </c>
      <c r="G1121" s="1277">
        <f t="shared" si="69"/>
        <v>505881.87153966166</v>
      </c>
      <c r="H1121" s="1280">
        <f t="shared" si="70"/>
        <v>505881.87153966166</v>
      </c>
      <c r="I1121" s="729">
        <f t="shared" si="67"/>
        <v>0</v>
      </c>
      <c r="J1121" s="729"/>
      <c r="K1121" s="881"/>
      <c r="L1121" s="735"/>
      <c r="M1121" s="881"/>
      <c r="N1121" s="735"/>
      <c r="O1121" s="735"/>
    </row>
    <row r="1122" spans="2:15">
      <c r="B1122" s="334"/>
      <c r="C1122" s="725">
        <f>IF(D1076="","-",+C1121+1)</f>
        <v>2057</v>
      </c>
      <c r="D1122" s="676">
        <f t="shared" si="68"/>
        <v>3149870.1694915295</v>
      </c>
      <c r="E1122" s="1283">
        <f t="shared" si="71"/>
        <v>157493.50847457626</v>
      </c>
      <c r="F1122" s="676">
        <f t="shared" si="66"/>
        <v>2992376.6610169532</v>
      </c>
      <c r="G1122" s="1277">
        <f t="shared" si="69"/>
        <v>488887.31724380387</v>
      </c>
      <c r="H1122" s="1280">
        <f t="shared" si="70"/>
        <v>488887.31724380387</v>
      </c>
      <c r="I1122" s="729">
        <f t="shared" si="67"/>
        <v>0</v>
      </c>
      <c r="J1122" s="729"/>
      <c r="K1122" s="881"/>
      <c r="L1122" s="735"/>
      <c r="M1122" s="881"/>
      <c r="N1122" s="735"/>
      <c r="O1122" s="735"/>
    </row>
    <row r="1123" spans="2:15">
      <c r="B1123" s="334"/>
      <c r="C1123" s="725">
        <f>IF(D1076="","-",+C1122+1)</f>
        <v>2058</v>
      </c>
      <c r="D1123" s="676">
        <f t="shared" si="68"/>
        <v>2992376.6610169532</v>
      </c>
      <c r="E1123" s="1283">
        <f t="shared" si="71"/>
        <v>157493.50847457626</v>
      </c>
      <c r="F1123" s="676">
        <f t="shared" si="66"/>
        <v>2834883.1525423769</v>
      </c>
      <c r="G1123" s="1277">
        <f t="shared" si="69"/>
        <v>471892.76294794597</v>
      </c>
      <c r="H1123" s="1280">
        <f t="shared" si="70"/>
        <v>471892.76294794597</v>
      </c>
      <c r="I1123" s="729">
        <f t="shared" si="67"/>
        <v>0</v>
      </c>
      <c r="J1123" s="729"/>
      <c r="K1123" s="881"/>
      <c r="L1123" s="735"/>
      <c r="M1123" s="881"/>
      <c r="N1123" s="735"/>
      <c r="O1123" s="735"/>
    </row>
    <row r="1124" spans="2:15">
      <c r="B1124" s="334"/>
      <c r="C1124" s="725">
        <f>IF(D1076="","-",+C1123+1)</f>
        <v>2059</v>
      </c>
      <c r="D1124" s="676">
        <f t="shared" si="68"/>
        <v>2834883.1525423769</v>
      </c>
      <c r="E1124" s="1283">
        <f t="shared" si="71"/>
        <v>157493.50847457626</v>
      </c>
      <c r="F1124" s="676">
        <f t="shared" si="66"/>
        <v>2677389.6440678006</v>
      </c>
      <c r="G1124" s="1277">
        <f t="shared" si="69"/>
        <v>454898.20865208819</v>
      </c>
      <c r="H1124" s="1280">
        <f t="shared" si="70"/>
        <v>454898.20865208819</v>
      </c>
      <c r="I1124" s="729">
        <f t="shared" si="67"/>
        <v>0</v>
      </c>
      <c r="J1124" s="729"/>
      <c r="K1124" s="881"/>
      <c r="L1124" s="735"/>
      <c r="M1124" s="881"/>
      <c r="N1124" s="735"/>
      <c r="O1124" s="735"/>
    </row>
    <row r="1125" spans="2:15">
      <c r="B1125" s="334"/>
      <c r="C1125" s="725">
        <f>IF(D1076="","-",+C1124+1)</f>
        <v>2060</v>
      </c>
      <c r="D1125" s="676">
        <f t="shared" si="68"/>
        <v>2677389.6440678006</v>
      </c>
      <c r="E1125" s="1283">
        <f t="shared" si="71"/>
        <v>157493.50847457626</v>
      </c>
      <c r="F1125" s="676">
        <f t="shared" si="66"/>
        <v>2519896.1355932243</v>
      </c>
      <c r="G1125" s="1277">
        <f t="shared" si="69"/>
        <v>437903.6543562304</v>
      </c>
      <c r="H1125" s="1280">
        <f t="shared" si="70"/>
        <v>437903.6543562304</v>
      </c>
      <c r="I1125" s="729">
        <f t="shared" si="67"/>
        <v>0</v>
      </c>
      <c r="J1125" s="729"/>
      <c r="K1125" s="881"/>
      <c r="L1125" s="735"/>
      <c r="M1125" s="881"/>
      <c r="N1125" s="735"/>
      <c r="O1125" s="735"/>
    </row>
    <row r="1126" spans="2:15">
      <c r="B1126" s="334"/>
      <c r="C1126" s="725">
        <f>IF(D1076="","-",+C1125+1)</f>
        <v>2061</v>
      </c>
      <c r="D1126" s="676">
        <f t="shared" si="68"/>
        <v>2519896.1355932243</v>
      </c>
      <c r="E1126" s="1283">
        <f t="shared" si="71"/>
        <v>157493.50847457626</v>
      </c>
      <c r="F1126" s="676">
        <f t="shared" si="66"/>
        <v>2362402.627118648</v>
      </c>
      <c r="G1126" s="1277">
        <f t="shared" si="69"/>
        <v>420909.10006037261</v>
      </c>
      <c r="H1126" s="1280">
        <f t="shared" si="70"/>
        <v>420909.10006037261</v>
      </c>
      <c r="I1126" s="729">
        <f t="shared" si="67"/>
        <v>0</v>
      </c>
      <c r="J1126" s="729"/>
      <c r="K1126" s="881"/>
      <c r="L1126" s="735"/>
      <c r="M1126" s="881"/>
      <c r="N1126" s="735"/>
      <c r="O1126" s="735"/>
    </row>
    <row r="1127" spans="2:15">
      <c r="B1127" s="334"/>
      <c r="C1127" s="725">
        <f>IF(D1076="","-",+C1126+1)</f>
        <v>2062</v>
      </c>
      <c r="D1127" s="676">
        <f t="shared" si="68"/>
        <v>2362402.627118648</v>
      </c>
      <c r="E1127" s="1283">
        <f t="shared" si="71"/>
        <v>157493.50847457626</v>
      </c>
      <c r="F1127" s="676">
        <f t="shared" si="66"/>
        <v>2204909.1186440717</v>
      </c>
      <c r="G1127" s="1277">
        <f t="shared" si="69"/>
        <v>403914.54576451483</v>
      </c>
      <c r="H1127" s="1280">
        <f t="shared" si="70"/>
        <v>403914.54576451483</v>
      </c>
      <c r="I1127" s="729">
        <f t="shared" si="67"/>
        <v>0</v>
      </c>
      <c r="J1127" s="729"/>
      <c r="K1127" s="881"/>
      <c r="L1127" s="735"/>
      <c r="M1127" s="881"/>
      <c r="N1127" s="735"/>
      <c r="O1127" s="735"/>
    </row>
    <row r="1128" spans="2:15">
      <c r="B1128" s="334"/>
      <c r="C1128" s="725">
        <f>IF(D1076="","-",+C1127+1)</f>
        <v>2063</v>
      </c>
      <c r="D1128" s="676">
        <f t="shared" si="68"/>
        <v>2204909.1186440717</v>
      </c>
      <c r="E1128" s="1283">
        <f t="shared" si="71"/>
        <v>157493.50847457626</v>
      </c>
      <c r="F1128" s="676">
        <f t="shared" si="66"/>
        <v>2047415.6101694955</v>
      </c>
      <c r="G1128" s="1277">
        <f t="shared" si="69"/>
        <v>386919.99146865704</v>
      </c>
      <c r="H1128" s="1280">
        <f t="shared" si="70"/>
        <v>386919.99146865704</v>
      </c>
      <c r="I1128" s="729">
        <f t="shared" si="67"/>
        <v>0</v>
      </c>
      <c r="J1128" s="729"/>
      <c r="K1128" s="881"/>
      <c r="L1128" s="735"/>
      <c r="M1128" s="881"/>
      <c r="N1128" s="735"/>
      <c r="O1128" s="735"/>
    </row>
    <row r="1129" spans="2:15">
      <c r="B1129" s="334"/>
      <c r="C1129" s="725">
        <f>IF(D1076="","-",+C1128+1)</f>
        <v>2064</v>
      </c>
      <c r="D1129" s="676">
        <f t="shared" si="68"/>
        <v>2047415.6101694955</v>
      </c>
      <c r="E1129" s="1283">
        <f t="shared" si="71"/>
        <v>157493.50847457626</v>
      </c>
      <c r="F1129" s="676">
        <f t="shared" si="66"/>
        <v>1889922.1016949192</v>
      </c>
      <c r="G1129" s="1277">
        <f t="shared" si="69"/>
        <v>369925.4371727992</v>
      </c>
      <c r="H1129" s="1280">
        <f t="shared" si="70"/>
        <v>369925.4371727992</v>
      </c>
      <c r="I1129" s="729">
        <f t="shared" si="67"/>
        <v>0</v>
      </c>
      <c r="J1129" s="729"/>
      <c r="K1129" s="881"/>
      <c r="L1129" s="735"/>
      <c r="M1129" s="881"/>
      <c r="N1129" s="735"/>
      <c r="O1129" s="735"/>
    </row>
    <row r="1130" spans="2:15">
      <c r="B1130" s="334"/>
      <c r="C1130" s="725">
        <f>IF(D1076="","-",+C1129+1)</f>
        <v>2065</v>
      </c>
      <c r="D1130" s="676">
        <f t="shared" si="68"/>
        <v>1889922.1016949192</v>
      </c>
      <c r="E1130" s="1283">
        <f t="shared" si="71"/>
        <v>157493.50847457626</v>
      </c>
      <c r="F1130" s="676">
        <f t="shared" si="66"/>
        <v>1732428.5932203429</v>
      </c>
      <c r="G1130" s="1277">
        <f t="shared" si="69"/>
        <v>352930.88287694141</v>
      </c>
      <c r="H1130" s="1280">
        <f t="shared" si="70"/>
        <v>352930.88287694141</v>
      </c>
      <c r="I1130" s="729">
        <f t="shared" si="67"/>
        <v>0</v>
      </c>
      <c r="J1130" s="729"/>
      <c r="K1130" s="881"/>
      <c r="L1130" s="735"/>
      <c r="M1130" s="881"/>
      <c r="N1130" s="735"/>
      <c r="O1130" s="735"/>
    </row>
    <row r="1131" spans="2:15">
      <c r="B1131" s="334"/>
      <c r="C1131" s="725">
        <f>IF(D1076="","-",+C1130+1)</f>
        <v>2066</v>
      </c>
      <c r="D1131" s="676">
        <f t="shared" si="68"/>
        <v>1732428.5932203429</v>
      </c>
      <c r="E1131" s="1283">
        <f t="shared" si="71"/>
        <v>157493.50847457626</v>
      </c>
      <c r="F1131" s="676">
        <f t="shared" si="66"/>
        <v>1574935.0847457666</v>
      </c>
      <c r="G1131" s="1277">
        <f t="shared" si="69"/>
        <v>335936.32858108357</v>
      </c>
      <c r="H1131" s="1280">
        <f t="shared" si="70"/>
        <v>335936.32858108357</v>
      </c>
      <c r="I1131" s="729">
        <f t="shared" si="67"/>
        <v>0</v>
      </c>
      <c r="J1131" s="729"/>
      <c r="K1131" s="881"/>
      <c r="L1131" s="735"/>
      <c r="M1131" s="881"/>
      <c r="N1131" s="735"/>
      <c r="O1131" s="735"/>
    </row>
    <row r="1132" spans="2:15">
      <c r="B1132" s="334"/>
      <c r="C1132" s="725">
        <f>IF(D1076="","-",+C1131+1)</f>
        <v>2067</v>
      </c>
      <c r="D1132" s="676">
        <f t="shared" si="68"/>
        <v>1574935.0847457666</v>
      </c>
      <c r="E1132" s="1283">
        <f t="shared" si="71"/>
        <v>157493.50847457626</v>
      </c>
      <c r="F1132" s="676">
        <f t="shared" si="66"/>
        <v>1417441.5762711903</v>
      </c>
      <c r="G1132" s="1277">
        <f t="shared" si="69"/>
        <v>318941.77428522578</v>
      </c>
      <c r="H1132" s="1280">
        <f t="shared" si="70"/>
        <v>318941.77428522578</v>
      </c>
      <c r="I1132" s="729">
        <f t="shared" si="67"/>
        <v>0</v>
      </c>
      <c r="J1132" s="729"/>
      <c r="K1132" s="881"/>
      <c r="L1132" s="735"/>
      <c r="M1132" s="881"/>
      <c r="N1132" s="735"/>
      <c r="O1132" s="735"/>
    </row>
    <row r="1133" spans="2:15">
      <c r="B1133" s="334"/>
      <c r="C1133" s="725">
        <f>IF(D1076="","-",+C1132+1)</f>
        <v>2068</v>
      </c>
      <c r="D1133" s="676">
        <f t="shared" si="68"/>
        <v>1417441.5762711903</v>
      </c>
      <c r="E1133" s="1283">
        <f t="shared" si="71"/>
        <v>157493.50847457626</v>
      </c>
      <c r="F1133" s="676">
        <f t="shared" si="66"/>
        <v>1259948.067796614</v>
      </c>
      <c r="G1133" s="1277">
        <f t="shared" si="69"/>
        <v>301947.21998936799</v>
      </c>
      <c r="H1133" s="1280">
        <f t="shared" si="70"/>
        <v>301947.21998936799</v>
      </c>
      <c r="I1133" s="729">
        <f t="shared" si="67"/>
        <v>0</v>
      </c>
      <c r="J1133" s="729"/>
      <c r="K1133" s="881"/>
      <c r="L1133" s="735"/>
      <c r="M1133" s="881"/>
      <c r="N1133" s="735"/>
      <c r="O1133" s="735"/>
    </row>
    <row r="1134" spans="2:15">
      <c r="B1134" s="334"/>
      <c r="C1134" s="725">
        <f>IF(D1076="","-",+C1133+1)</f>
        <v>2069</v>
      </c>
      <c r="D1134" s="676">
        <f t="shared" si="68"/>
        <v>1259948.067796614</v>
      </c>
      <c r="E1134" s="1283">
        <f t="shared" si="71"/>
        <v>157493.50847457626</v>
      </c>
      <c r="F1134" s="676">
        <f t="shared" si="66"/>
        <v>1102454.5593220377</v>
      </c>
      <c r="G1134" s="1277">
        <f t="shared" si="69"/>
        <v>284952.66569351021</v>
      </c>
      <c r="H1134" s="1280">
        <f t="shared" si="70"/>
        <v>284952.66569351021</v>
      </c>
      <c r="I1134" s="729">
        <f t="shared" si="67"/>
        <v>0</v>
      </c>
      <c r="J1134" s="729"/>
      <c r="K1134" s="881"/>
      <c r="L1134" s="735"/>
      <c r="M1134" s="881"/>
      <c r="N1134" s="735"/>
      <c r="O1134" s="735"/>
    </row>
    <row r="1135" spans="2:15">
      <c r="B1135" s="334"/>
      <c r="C1135" s="725">
        <f>IF(D1076="","-",+C1134+1)</f>
        <v>2070</v>
      </c>
      <c r="D1135" s="676">
        <f t="shared" si="68"/>
        <v>1102454.5593220377</v>
      </c>
      <c r="E1135" s="1283">
        <f t="shared" si="71"/>
        <v>157493.50847457626</v>
      </c>
      <c r="F1135" s="676">
        <f t="shared" si="66"/>
        <v>944961.05084746145</v>
      </c>
      <c r="G1135" s="1277">
        <f t="shared" si="69"/>
        <v>267958.11139765236</v>
      </c>
      <c r="H1135" s="1280">
        <f t="shared" si="70"/>
        <v>267958.11139765236</v>
      </c>
      <c r="I1135" s="729">
        <f t="shared" si="67"/>
        <v>0</v>
      </c>
      <c r="J1135" s="729"/>
      <c r="K1135" s="881"/>
      <c r="L1135" s="735"/>
      <c r="M1135" s="881"/>
      <c r="N1135" s="735"/>
      <c r="O1135" s="735"/>
    </row>
    <row r="1136" spans="2:15">
      <c r="B1136" s="334"/>
      <c r="C1136" s="725">
        <f>IF(D1076="","-",+C1135+1)</f>
        <v>2071</v>
      </c>
      <c r="D1136" s="676">
        <f t="shared" si="68"/>
        <v>944961.05084746145</v>
      </c>
      <c r="E1136" s="1283">
        <f t="shared" si="71"/>
        <v>157493.50847457626</v>
      </c>
      <c r="F1136" s="676">
        <f t="shared" si="66"/>
        <v>787467.54237288516</v>
      </c>
      <c r="G1136" s="1277">
        <f t="shared" si="69"/>
        <v>250963.55710179458</v>
      </c>
      <c r="H1136" s="1280">
        <f t="shared" si="70"/>
        <v>250963.55710179458</v>
      </c>
      <c r="I1136" s="729">
        <f t="shared" si="67"/>
        <v>0</v>
      </c>
      <c r="J1136" s="729"/>
      <c r="K1136" s="881"/>
      <c r="L1136" s="735"/>
      <c r="M1136" s="881"/>
      <c r="N1136" s="735"/>
      <c r="O1136" s="735"/>
    </row>
    <row r="1137" spans="1:16">
      <c r="B1137" s="334"/>
      <c r="C1137" s="725">
        <f>IF(D1076="","-",+C1136+1)</f>
        <v>2072</v>
      </c>
      <c r="D1137" s="676">
        <f t="shared" si="68"/>
        <v>787467.54237288516</v>
      </c>
      <c r="E1137" s="1283">
        <f t="shared" si="71"/>
        <v>157493.50847457626</v>
      </c>
      <c r="F1137" s="676">
        <f t="shared" si="66"/>
        <v>629974.03389830887</v>
      </c>
      <c r="G1137" s="1277">
        <f t="shared" si="69"/>
        <v>233969.00280593679</v>
      </c>
      <c r="H1137" s="1280">
        <f t="shared" si="70"/>
        <v>233969.00280593679</v>
      </c>
      <c r="I1137" s="729">
        <f t="shared" si="67"/>
        <v>0</v>
      </c>
      <c r="J1137" s="729"/>
      <c r="K1137" s="881"/>
      <c r="L1137" s="735"/>
      <c r="M1137" s="881"/>
      <c r="N1137" s="735"/>
      <c r="O1137" s="735"/>
    </row>
    <row r="1138" spans="1:16">
      <c r="B1138" s="334"/>
      <c r="C1138" s="725">
        <f>IF(D1076="","-",+C1137+1)</f>
        <v>2073</v>
      </c>
      <c r="D1138" s="676">
        <f t="shared" si="68"/>
        <v>629974.03389830887</v>
      </c>
      <c r="E1138" s="1283">
        <f t="shared" si="71"/>
        <v>157493.50847457626</v>
      </c>
      <c r="F1138" s="676">
        <f t="shared" si="66"/>
        <v>472480.52542373259</v>
      </c>
      <c r="G1138" s="1277">
        <f t="shared" si="69"/>
        <v>216974.44851007898</v>
      </c>
      <c r="H1138" s="1280">
        <f t="shared" si="70"/>
        <v>216974.44851007898</v>
      </c>
      <c r="I1138" s="729">
        <f t="shared" si="67"/>
        <v>0</v>
      </c>
      <c r="J1138" s="729"/>
      <c r="K1138" s="881"/>
      <c r="L1138" s="735"/>
      <c r="M1138" s="881"/>
      <c r="N1138" s="735"/>
      <c r="O1138" s="735"/>
    </row>
    <row r="1139" spans="1:16">
      <c r="B1139" s="334"/>
      <c r="C1139" s="725">
        <f>IF(D1076="","-",+C1138+1)</f>
        <v>2074</v>
      </c>
      <c r="D1139" s="676">
        <f t="shared" si="68"/>
        <v>472480.52542373259</v>
      </c>
      <c r="E1139" s="1283">
        <f t="shared" si="71"/>
        <v>157493.50847457626</v>
      </c>
      <c r="F1139" s="676">
        <f t="shared" si="66"/>
        <v>314987.0169491563</v>
      </c>
      <c r="G1139" s="1277">
        <f t="shared" si="69"/>
        <v>199979.89421422116</v>
      </c>
      <c r="H1139" s="1280">
        <f t="shared" si="70"/>
        <v>199979.89421422116</v>
      </c>
      <c r="I1139" s="729">
        <f t="shared" si="67"/>
        <v>0</v>
      </c>
      <c r="J1139" s="729"/>
      <c r="K1139" s="881"/>
      <c r="L1139" s="735"/>
      <c r="M1139" s="881"/>
      <c r="N1139" s="735"/>
      <c r="O1139" s="735"/>
    </row>
    <row r="1140" spans="1:16">
      <c r="B1140" s="334"/>
      <c r="C1140" s="725">
        <f>IF(D1076="","-",+C1139+1)</f>
        <v>2075</v>
      </c>
      <c r="D1140" s="676">
        <f t="shared" si="68"/>
        <v>314987.0169491563</v>
      </c>
      <c r="E1140" s="1283">
        <f t="shared" si="71"/>
        <v>157493.50847457626</v>
      </c>
      <c r="F1140" s="676">
        <f t="shared" si="66"/>
        <v>157493.50847458004</v>
      </c>
      <c r="G1140" s="1277">
        <f t="shared" si="69"/>
        <v>182985.33991836337</v>
      </c>
      <c r="H1140" s="1280">
        <f t="shared" si="70"/>
        <v>182985.33991836337</v>
      </c>
      <c r="I1140" s="729">
        <f t="shared" si="67"/>
        <v>0</v>
      </c>
      <c r="J1140" s="729"/>
      <c r="K1140" s="881"/>
      <c r="L1140" s="735"/>
      <c r="M1140" s="881"/>
      <c r="N1140" s="735"/>
      <c r="O1140" s="735"/>
    </row>
    <row r="1141" spans="1:16" ht="13.5" thickBot="1">
      <c r="B1141" s="334"/>
      <c r="C1141" s="737">
        <f>IF(D1076="","-",+C1140+1)</f>
        <v>2076</v>
      </c>
      <c r="D1141" s="738">
        <f t="shared" si="68"/>
        <v>157493.50847458004</v>
      </c>
      <c r="E1141" s="1307">
        <f t="shared" si="71"/>
        <v>157493.50847457626</v>
      </c>
      <c r="F1141" s="738">
        <f t="shared" si="66"/>
        <v>3.7834979593753815E-9</v>
      </c>
      <c r="G1141" s="1287">
        <f t="shared" si="69"/>
        <v>165990.78562250556</v>
      </c>
      <c r="H1141" s="1287">
        <f t="shared" si="70"/>
        <v>165990.78562250556</v>
      </c>
      <c r="I1141" s="741">
        <f t="shared" si="67"/>
        <v>0</v>
      </c>
      <c r="J1141" s="729"/>
      <c r="K1141" s="882"/>
      <c r="L1141" s="743"/>
      <c r="M1141" s="882"/>
      <c r="N1141" s="743"/>
      <c r="O1141" s="743"/>
    </row>
    <row r="1142" spans="1:16">
      <c r="B1142" s="334"/>
      <c r="C1142" s="676" t="s">
        <v>289</v>
      </c>
      <c r="D1142" s="1258"/>
      <c r="E1142" s="1258">
        <f>SUM(E1082:E1141)</f>
        <v>9292116.9999999944</v>
      </c>
      <c r="F1142" s="1258"/>
      <c r="G1142" s="1258">
        <f>SUM(G1082:G1141)</f>
        <v>39873817.455396138</v>
      </c>
      <c r="H1142" s="1258">
        <f>SUM(H1082:H1141)</f>
        <v>39873817.455396138</v>
      </c>
      <c r="I1142" s="1258">
        <f>SUM(I1082:I1141)</f>
        <v>0</v>
      </c>
      <c r="J1142" s="1258"/>
      <c r="K1142" s="1258"/>
      <c r="L1142" s="1258"/>
      <c r="M1142" s="1258"/>
      <c r="N1142" s="1258"/>
      <c r="O1142" s="543"/>
    </row>
    <row r="1143" spans="1:16">
      <c r="B1143" s="334"/>
      <c r="D1143" s="566"/>
      <c r="E1143" s="543"/>
      <c r="F1143" s="543"/>
      <c r="G1143" s="543"/>
      <c r="H1143" s="1257"/>
      <c r="I1143" s="1257"/>
      <c r="J1143" s="1258"/>
      <c r="K1143" s="1257"/>
      <c r="L1143" s="1257"/>
      <c r="M1143" s="1257"/>
      <c r="N1143" s="1257"/>
      <c r="O1143" s="543"/>
    </row>
    <row r="1144" spans="1:16">
      <c r="B1144" s="334"/>
      <c r="C1144" s="543" t="s">
        <v>602</v>
      </c>
      <c r="D1144" s="566"/>
      <c r="E1144" s="543"/>
      <c r="F1144" s="543"/>
      <c r="G1144" s="543"/>
      <c r="H1144" s="1257"/>
      <c r="I1144" s="1257"/>
      <c r="J1144" s="1258"/>
      <c r="K1144" s="1257"/>
      <c r="L1144" s="1257"/>
      <c r="M1144" s="1257"/>
      <c r="N1144" s="1257"/>
      <c r="O1144" s="543"/>
    </row>
    <row r="1145" spans="1:16">
      <c r="B1145" s="334"/>
      <c r="D1145" s="566"/>
      <c r="E1145" s="543"/>
      <c r="F1145" s="543"/>
      <c r="G1145" s="543"/>
      <c r="H1145" s="1257"/>
      <c r="I1145" s="1257"/>
      <c r="J1145" s="1258"/>
      <c r="K1145" s="1257"/>
      <c r="L1145" s="1257"/>
      <c r="M1145" s="1257"/>
      <c r="N1145" s="1257"/>
      <c r="O1145" s="543"/>
    </row>
    <row r="1146" spans="1:16">
      <c r="B1146" s="334"/>
      <c r="C1146" s="579" t="s">
        <v>603</v>
      </c>
      <c r="D1146" s="676"/>
      <c r="E1146" s="676"/>
      <c r="F1146" s="676"/>
      <c r="G1146" s="1258"/>
      <c r="H1146" s="1258"/>
      <c r="I1146" s="677"/>
      <c r="J1146" s="677"/>
      <c r="K1146" s="677"/>
      <c r="L1146" s="677"/>
      <c r="M1146" s="677"/>
      <c r="N1146" s="677"/>
      <c r="O1146" s="543"/>
    </row>
    <row r="1147" spans="1:16">
      <c r="B1147" s="334"/>
      <c r="C1147" s="579" t="s">
        <v>477</v>
      </c>
      <c r="D1147" s="676"/>
      <c r="E1147" s="676"/>
      <c r="F1147" s="676"/>
      <c r="G1147" s="1258"/>
      <c r="H1147" s="1258"/>
      <c r="I1147" s="677"/>
      <c r="J1147" s="677"/>
      <c r="K1147" s="677"/>
      <c r="L1147" s="677"/>
      <c r="M1147" s="677"/>
      <c r="N1147" s="677"/>
      <c r="O1147" s="543"/>
    </row>
    <row r="1148" spans="1:16">
      <c r="B1148" s="334"/>
      <c r="C1148" s="579" t="s">
        <v>290</v>
      </c>
      <c r="D1148" s="676"/>
      <c r="E1148" s="676"/>
      <c r="F1148" s="676"/>
      <c r="G1148" s="1258"/>
      <c r="H1148" s="1258"/>
      <c r="I1148" s="677"/>
      <c r="J1148" s="677"/>
      <c r="K1148" s="677"/>
      <c r="L1148" s="677"/>
      <c r="M1148" s="677"/>
      <c r="N1148" s="677"/>
      <c r="O1148" s="543"/>
    </row>
    <row r="1149" spans="1:16">
      <c r="B1149" s="334"/>
      <c r="C1149" s="675"/>
      <c r="D1149" s="676"/>
      <c r="E1149" s="676"/>
      <c r="F1149" s="676"/>
      <c r="G1149" s="1258"/>
      <c r="H1149" s="1258"/>
      <c r="I1149" s="677"/>
      <c r="J1149" s="677"/>
      <c r="K1149" s="677"/>
      <c r="L1149" s="677"/>
      <c r="M1149" s="677"/>
      <c r="N1149" s="677"/>
      <c r="O1149" s="543"/>
    </row>
    <row r="1150" spans="1:16">
      <c r="B1150" s="334"/>
      <c r="C1150" s="1436" t="s">
        <v>461</v>
      </c>
      <c r="D1150" s="1436"/>
      <c r="E1150" s="1436"/>
      <c r="F1150" s="1436"/>
      <c r="G1150" s="1436"/>
      <c r="H1150" s="1436"/>
      <c r="I1150" s="1436"/>
      <c r="J1150" s="1436"/>
      <c r="K1150" s="1436"/>
      <c r="L1150" s="1436"/>
      <c r="M1150" s="1436"/>
      <c r="N1150" s="1436"/>
      <c r="O1150" s="1436"/>
    </row>
    <row r="1151" spans="1:16">
      <c r="B1151" s="334"/>
      <c r="C1151" s="1436"/>
      <c r="D1151" s="1436"/>
      <c r="E1151" s="1436"/>
      <c r="F1151" s="1436"/>
      <c r="G1151" s="1436"/>
      <c r="H1151" s="1436"/>
      <c r="I1151" s="1436"/>
      <c r="J1151" s="1436"/>
      <c r="K1151" s="1436"/>
      <c r="L1151" s="1436"/>
      <c r="M1151" s="1436"/>
      <c r="N1151" s="1436"/>
      <c r="O1151" s="1436"/>
    </row>
    <row r="1152" spans="1:16" ht="20.25">
      <c r="A1152" s="678" t="s">
        <v>993</v>
      </c>
      <c r="B1152" s="543"/>
      <c r="C1152" s="658"/>
      <c r="D1152" s="566"/>
      <c r="E1152" s="543"/>
      <c r="F1152" s="648"/>
      <c r="G1152" s="543"/>
      <c r="H1152" s="1257"/>
      <c r="K1152" s="679"/>
      <c r="L1152" s="679"/>
      <c r="M1152" s="679"/>
      <c r="N1152" s="594" t="str">
        <f>"Page "&amp;SUM(P$6:P1152)&amp;" of "</f>
        <v xml:space="preserve">Page 14 of </v>
      </c>
      <c r="O1152" s="595">
        <f>COUNT(P$6:P$59606)</f>
        <v>14</v>
      </c>
      <c r="P1152" s="543">
        <v>1</v>
      </c>
    </row>
    <row r="1153" spans="2:15">
      <c r="B1153" s="543"/>
      <c r="C1153" s="543"/>
      <c r="D1153" s="566"/>
      <c r="E1153" s="543"/>
      <c r="F1153" s="543"/>
      <c r="G1153" s="543"/>
      <c r="H1153" s="1257"/>
      <c r="I1153" s="543"/>
      <c r="J1153" s="591"/>
      <c r="K1153" s="543"/>
      <c r="L1153" s="543"/>
      <c r="M1153" s="543"/>
      <c r="N1153" s="543"/>
      <c r="O1153" s="543"/>
    </row>
    <row r="1154" spans="2:15" ht="18">
      <c r="B1154" s="598" t="s">
        <v>175</v>
      </c>
      <c r="C1154" s="680" t="s">
        <v>291</v>
      </c>
      <c r="D1154" s="566"/>
      <c r="E1154" s="543"/>
      <c r="F1154" s="543"/>
      <c r="G1154" s="543"/>
      <c r="H1154" s="1257"/>
      <c r="I1154" s="1257"/>
      <c r="J1154" s="1258"/>
      <c r="K1154" s="1257"/>
      <c r="L1154" s="1257"/>
      <c r="M1154" s="1257"/>
      <c r="N1154" s="1257"/>
      <c r="O1154" s="543"/>
    </row>
    <row r="1155" spans="2:15" ht="18.75">
      <c r="B1155" s="598"/>
      <c r="C1155" s="597"/>
      <c r="D1155" s="566"/>
      <c r="E1155" s="543"/>
      <c r="F1155" s="543"/>
      <c r="G1155" s="543"/>
      <c r="H1155" s="1257"/>
      <c r="I1155" s="1257"/>
      <c r="J1155" s="1258"/>
      <c r="K1155" s="1257"/>
      <c r="L1155" s="1257"/>
      <c r="M1155" s="1257"/>
      <c r="N1155" s="1257"/>
      <c r="O1155" s="543"/>
    </row>
    <row r="1156" spans="2:15" ht="18.75">
      <c r="B1156" s="598"/>
      <c r="C1156" s="597" t="s">
        <v>292</v>
      </c>
      <c r="D1156" s="566"/>
      <c r="E1156" s="543"/>
      <c r="F1156" s="543"/>
      <c r="G1156" s="543"/>
      <c r="H1156" s="1257"/>
      <c r="I1156" s="1257"/>
      <c r="J1156" s="1258"/>
      <c r="K1156" s="1257"/>
      <c r="L1156" s="1257"/>
      <c r="M1156" s="1257"/>
      <c r="N1156" s="1257"/>
      <c r="O1156" s="543"/>
    </row>
    <row r="1157" spans="2:15" ht="15.75" thickBot="1">
      <c r="B1157" s="334"/>
      <c r="C1157" s="400"/>
      <c r="D1157" s="566"/>
      <c r="E1157" s="543"/>
      <c r="F1157" s="543"/>
      <c r="G1157" s="543"/>
      <c r="H1157" s="1257"/>
      <c r="I1157" s="1257"/>
      <c r="J1157" s="1258"/>
      <c r="K1157" s="1257"/>
      <c r="L1157" s="1257"/>
      <c r="M1157" s="1257"/>
      <c r="N1157" s="1257"/>
      <c r="O1157" s="543"/>
    </row>
    <row r="1158" spans="2:15" ht="15.75">
      <c r="B1158" s="334"/>
      <c r="C1158" s="599" t="s">
        <v>293</v>
      </c>
      <c r="D1158" s="566"/>
      <c r="E1158" s="543"/>
      <c r="F1158" s="543"/>
      <c r="G1158" s="1259"/>
      <c r="H1158" s="543" t="s">
        <v>272</v>
      </c>
      <c r="I1158" s="543"/>
      <c r="J1158" s="591"/>
      <c r="K1158" s="681" t="s">
        <v>297</v>
      </c>
      <c r="L1158" s="682"/>
      <c r="M1158" s="683"/>
      <c r="N1158" s="1260">
        <f>VLOOKUP(I1164,C1171:O1230,5)</f>
        <v>7851017.8437164733</v>
      </c>
      <c r="O1158" s="543"/>
    </row>
    <row r="1159" spans="2:15" ht="15.75">
      <c r="B1159" s="334"/>
      <c r="C1159" s="599"/>
      <c r="D1159" s="566"/>
      <c r="E1159" s="543"/>
      <c r="F1159" s="543"/>
      <c r="G1159" s="543"/>
      <c r="H1159" s="1261"/>
      <c r="I1159" s="1261"/>
      <c r="J1159" s="1262"/>
      <c r="K1159" s="686" t="s">
        <v>298</v>
      </c>
      <c r="L1159" s="1263"/>
      <c r="M1159" s="591"/>
      <c r="N1159" s="1264">
        <f>VLOOKUP(I1164,C1171:O1230,6)</f>
        <v>7851017.8437164733</v>
      </c>
      <c r="O1159" s="543"/>
    </row>
    <row r="1160" spans="2:15" ht="13.5" thickBot="1">
      <c r="B1160" s="334"/>
      <c r="C1160" s="687" t="s">
        <v>294</v>
      </c>
      <c r="D1160" s="1434" t="s">
        <v>1007</v>
      </c>
      <c r="E1160" s="1434"/>
      <c r="F1160" s="1434"/>
      <c r="G1160" s="1434"/>
      <c r="H1160" s="1434"/>
      <c r="I1160" s="1257"/>
      <c r="J1160" s="1258"/>
      <c r="K1160" s="1265" t="s">
        <v>451</v>
      </c>
      <c r="L1160" s="1266"/>
      <c r="M1160" s="1266"/>
      <c r="N1160" s="1267">
        <f>+N1159-N1158</f>
        <v>0</v>
      </c>
      <c r="O1160" s="543"/>
    </row>
    <row r="1161" spans="2:15">
      <c r="B1161" s="334"/>
      <c r="C1161" s="689"/>
      <c r="D1161" s="690"/>
      <c r="E1161" s="674"/>
      <c r="F1161" s="674"/>
      <c r="G1161" s="691"/>
      <c r="H1161" s="1257"/>
      <c r="I1161" s="1257"/>
      <c r="J1161" s="1258"/>
      <c r="K1161" s="1257"/>
      <c r="L1161" s="1257"/>
      <c r="M1161" s="1257"/>
      <c r="N1161" s="1257"/>
      <c r="O1161" s="543"/>
    </row>
    <row r="1162" spans="2:15" ht="13.5" thickBot="1">
      <c r="B1162" s="334"/>
      <c r="C1162" s="692"/>
      <c r="D1162" s="693"/>
      <c r="E1162" s="691"/>
      <c r="F1162" s="691"/>
      <c r="G1162" s="691"/>
      <c r="H1162" s="691"/>
      <c r="I1162" s="691"/>
      <c r="J1162" s="694"/>
      <c r="K1162" s="691"/>
      <c r="L1162" s="691"/>
      <c r="M1162" s="691"/>
      <c r="N1162" s="691"/>
      <c r="O1162" s="579"/>
    </row>
    <row r="1163" spans="2:15" ht="13.5" thickBot="1">
      <c r="B1163" s="334"/>
      <c r="C1163" s="696" t="s">
        <v>295</v>
      </c>
      <c r="D1163" s="697"/>
      <c r="E1163" s="697"/>
      <c r="F1163" s="697"/>
      <c r="G1163" s="697"/>
      <c r="H1163" s="697"/>
      <c r="I1163" s="698"/>
      <c r="J1163" s="699"/>
      <c r="K1163" s="543"/>
      <c r="L1163" s="543"/>
      <c r="M1163" s="543"/>
      <c r="N1163" s="543"/>
      <c r="O1163" s="700"/>
    </row>
    <row r="1164" spans="2:15" ht="15">
      <c r="C1164" s="702" t="s">
        <v>273</v>
      </c>
      <c r="D1164" s="1268">
        <v>70999286</v>
      </c>
      <c r="E1164" s="658" t="s">
        <v>274</v>
      </c>
      <c r="G1164" s="703"/>
      <c r="H1164" s="703"/>
      <c r="I1164" s="704">
        <v>2018</v>
      </c>
      <c r="J1164" s="589"/>
      <c r="K1164" s="1435" t="s">
        <v>460</v>
      </c>
      <c r="L1164" s="1435"/>
      <c r="M1164" s="1435"/>
      <c r="N1164" s="1435"/>
      <c r="O1164" s="1435"/>
    </row>
    <row r="1165" spans="2:15">
      <c r="C1165" s="702" t="s">
        <v>276</v>
      </c>
      <c r="D1165" s="1306">
        <v>2018</v>
      </c>
      <c r="E1165" s="702" t="s">
        <v>277</v>
      </c>
      <c r="F1165" s="703"/>
      <c r="H1165" s="334"/>
      <c r="I1165" s="879">
        <f>IF(G1158="",0,$F$15)</f>
        <v>0</v>
      </c>
      <c r="J1165" s="705"/>
      <c r="K1165" s="1258" t="s">
        <v>460</v>
      </c>
    </row>
    <row r="1166" spans="2:15">
      <c r="C1166" s="702" t="s">
        <v>278</v>
      </c>
      <c r="D1166" s="1268">
        <v>10</v>
      </c>
      <c r="E1166" s="702" t="s">
        <v>279</v>
      </c>
      <c r="F1166" s="703"/>
      <c r="H1166" s="334"/>
      <c r="I1166" s="706">
        <f>$G$70</f>
        <v>0.10790637951024619</v>
      </c>
      <c r="J1166" s="707"/>
      <c r="K1166" s="334" t="str">
        <f>"          INPUT PROJECTED ARR (WITH &amp; WITHOUT INCENTIVES) FROM EACH PRIOR YEAR"</f>
        <v xml:space="preserve">          INPUT PROJECTED ARR (WITH &amp; WITHOUT INCENTIVES) FROM EACH PRIOR YEAR</v>
      </c>
    </row>
    <row r="1167" spans="2:15">
      <c r="C1167" s="702" t="s">
        <v>280</v>
      </c>
      <c r="D1167" s="708">
        <f>G$79</f>
        <v>59</v>
      </c>
      <c r="E1167" s="702" t="s">
        <v>281</v>
      </c>
      <c r="F1167" s="703"/>
      <c r="H1167" s="334"/>
      <c r="I1167" s="706">
        <f>IF(G1158="",I1166,$G$67)</f>
        <v>0.10790637951024619</v>
      </c>
      <c r="J1167" s="709"/>
      <c r="K1167" s="334" t="s">
        <v>358</v>
      </c>
    </row>
    <row r="1168" spans="2:15" ht="13.5" thickBot="1">
      <c r="C1168" s="702" t="s">
        <v>282</v>
      </c>
      <c r="D1168" s="878" t="s">
        <v>995</v>
      </c>
      <c r="E1168" s="710" t="s">
        <v>283</v>
      </c>
      <c r="F1168" s="711"/>
      <c r="G1168" s="712"/>
      <c r="H1168" s="712"/>
      <c r="I1168" s="1267">
        <f>IF(D1164=0,0,D1164/D1167)</f>
        <v>1203377.7288135593</v>
      </c>
      <c r="J1168" s="1258"/>
      <c r="K1168" s="1258" t="s">
        <v>364</v>
      </c>
      <c r="L1168" s="1258"/>
      <c r="M1168" s="1258"/>
      <c r="N1168" s="1258"/>
      <c r="O1168" s="591"/>
    </row>
    <row r="1169" spans="1:15" ht="51">
      <c r="A1169" s="530"/>
      <c r="B1169" s="530"/>
      <c r="C1169" s="713" t="s">
        <v>273</v>
      </c>
      <c r="D1169" s="1270" t="s">
        <v>284</v>
      </c>
      <c r="E1169" s="1271" t="s">
        <v>285</v>
      </c>
      <c r="F1169" s="1270" t="s">
        <v>286</v>
      </c>
      <c r="G1169" s="1271" t="s">
        <v>357</v>
      </c>
      <c r="H1169" s="1272" t="s">
        <v>357</v>
      </c>
      <c r="I1169" s="713" t="s">
        <v>296</v>
      </c>
      <c r="J1169" s="717"/>
      <c r="K1169" s="1271" t="s">
        <v>366</v>
      </c>
      <c r="L1169" s="1273"/>
      <c r="M1169" s="1271" t="s">
        <v>366</v>
      </c>
      <c r="N1169" s="1273"/>
      <c r="O1169" s="1273"/>
    </row>
    <row r="1170" spans="1:15" ht="13.5" thickBot="1">
      <c r="B1170" s="334"/>
      <c r="C1170" s="719" t="s">
        <v>178</v>
      </c>
      <c r="D1170" s="720" t="s">
        <v>179</v>
      </c>
      <c r="E1170" s="719" t="s">
        <v>37</v>
      </c>
      <c r="F1170" s="720" t="s">
        <v>179</v>
      </c>
      <c r="G1170" s="1274" t="s">
        <v>299</v>
      </c>
      <c r="H1170" s="1275" t="s">
        <v>301</v>
      </c>
      <c r="I1170" s="723" t="s">
        <v>390</v>
      </c>
      <c r="J1170" s="724"/>
      <c r="K1170" s="1274" t="s">
        <v>288</v>
      </c>
      <c r="L1170" s="1276"/>
      <c r="M1170" s="1274" t="s">
        <v>301</v>
      </c>
      <c r="N1170" s="1276"/>
      <c r="O1170" s="1276"/>
    </row>
    <row r="1171" spans="1:15">
      <c r="B1171" s="334"/>
      <c r="C1171" s="1281">
        <f>IF(D1165= "","-",D1165)</f>
        <v>2018</v>
      </c>
      <c r="D1171" s="676">
        <f>+D1164</f>
        <v>70999286</v>
      </c>
      <c r="E1171" s="1277">
        <f>+I1168/12*(12-D1166)</f>
        <v>200562.95480225989</v>
      </c>
      <c r="F1171" s="676">
        <f t="shared" ref="F1171:F1230" si="72">+D1171-E1171</f>
        <v>70798723.04519774</v>
      </c>
      <c r="G1171" s="1278">
        <f>+$I$988*((D1171+F1171)/2)+E1171</f>
        <v>7851017.8437164733</v>
      </c>
      <c r="H1171" s="1279">
        <f>+$I$989*((D1171+F1171)/2)+E1171</f>
        <v>7851017.8437164733</v>
      </c>
      <c r="I1171" s="729">
        <f t="shared" ref="I1171:I1230" si="73">+H1171-G1171</f>
        <v>0</v>
      </c>
      <c r="J1171" s="729"/>
      <c r="K1171" s="880"/>
      <c r="L1171" s="731"/>
      <c r="M1171" s="880"/>
      <c r="N1171" s="731"/>
      <c r="O1171" s="731"/>
    </row>
    <row r="1172" spans="1:15">
      <c r="B1172" s="334"/>
      <c r="C1172" s="725">
        <f>IF(D1165="","-",+C1171+1)</f>
        <v>2019</v>
      </c>
      <c r="D1172" s="1282">
        <f t="shared" ref="D1172:D1230" si="74">F1171</f>
        <v>70798723.04519774</v>
      </c>
      <c r="E1172" s="1283">
        <f>IF(D1172&gt;$I$1168,$I$1168,D1172)</f>
        <v>1203377.7288135593</v>
      </c>
      <c r="F1172" s="1282">
        <f t="shared" si="72"/>
        <v>69595345.316384181</v>
      </c>
      <c r="G1172" s="1284">
        <f t="shared" ref="G1172:G1230" si="75">+$I$988*((D1172+F1172)/2)+E1172</f>
        <v>8778085.5396197122</v>
      </c>
      <c r="H1172" s="1285">
        <f t="shared" ref="H1172:H1230" si="76">+$I$989*((D1172+F1172)/2)+E1172</f>
        <v>8778085.5396197122</v>
      </c>
      <c r="I1172" s="1291">
        <f t="shared" si="73"/>
        <v>0</v>
      </c>
      <c r="J1172" s="729"/>
      <c r="K1172" s="881"/>
      <c r="L1172" s="735"/>
      <c r="M1172" s="881"/>
      <c r="N1172" s="735"/>
      <c r="O1172" s="735"/>
    </row>
    <row r="1173" spans="1:15">
      <c r="B1173" s="334"/>
      <c r="C1173" s="725">
        <f>IF(D1165="","-",+C1172+1)</f>
        <v>2020</v>
      </c>
      <c r="D1173" s="676">
        <f t="shared" si="74"/>
        <v>69595345.316384181</v>
      </c>
      <c r="E1173" s="1283">
        <f t="shared" ref="E1173:E1230" si="77">IF(D1173&gt;$I$1168,$I$1168,D1173)</f>
        <v>1203377.7288135593</v>
      </c>
      <c r="F1173" s="676">
        <f t="shared" si="72"/>
        <v>68391967.587570623</v>
      </c>
      <c r="G1173" s="1277">
        <f t="shared" si="75"/>
        <v>8648233.405720178</v>
      </c>
      <c r="H1173" s="1280">
        <f t="shared" si="76"/>
        <v>8648233.405720178</v>
      </c>
      <c r="I1173" s="729">
        <f t="shared" si="73"/>
        <v>0</v>
      </c>
      <c r="J1173" s="729"/>
      <c r="K1173" s="1302"/>
      <c r="L1173" s="1290"/>
      <c r="M1173" s="1302"/>
      <c r="N1173" s="735"/>
      <c r="O1173" s="735"/>
    </row>
    <row r="1174" spans="1:15">
      <c r="B1174" s="334"/>
      <c r="C1174" s="725">
        <f>IF(D1165="","-",+C1173+1)</f>
        <v>2021</v>
      </c>
      <c r="D1174" s="676">
        <f t="shared" si="74"/>
        <v>68391967.587570623</v>
      </c>
      <c r="E1174" s="1283">
        <f t="shared" si="77"/>
        <v>1203377.7288135593</v>
      </c>
      <c r="F1174" s="676">
        <f t="shared" si="72"/>
        <v>67188589.858757064</v>
      </c>
      <c r="G1174" s="1277">
        <f t="shared" si="75"/>
        <v>8518381.2718206439</v>
      </c>
      <c r="H1174" s="1280">
        <f t="shared" si="76"/>
        <v>8518381.2718206439</v>
      </c>
      <c r="I1174" s="729">
        <f t="shared" si="73"/>
        <v>0</v>
      </c>
      <c r="J1174" s="729"/>
      <c r="K1174" s="881"/>
      <c r="L1174" s="735"/>
      <c r="M1174" s="881"/>
      <c r="N1174" s="735"/>
      <c r="O1174" s="735"/>
    </row>
    <row r="1175" spans="1:15">
      <c r="B1175" s="334"/>
      <c r="C1175" s="725">
        <f>IF(D1165="","-",+C1174+1)</f>
        <v>2022</v>
      </c>
      <c r="D1175" s="676">
        <f t="shared" si="74"/>
        <v>67188589.858757064</v>
      </c>
      <c r="E1175" s="1283">
        <f t="shared" si="77"/>
        <v>1203377.7288135593</v>
      </c>
      <c r="F1175" s="676">
        <f t="shared" si="72"/>
        <v>65985212.129943505</v>
      </c>
      <c r="G1175" s="1277">
        <f t="shared" si="75"/>
        <v>8388529.1379211098</v>
      </c>
      <c r="H1175" s="1280">
        <f t="shared" si="76"/>
        <v>8388529.1379211098</v>
      </c>
      <c r="I1175" s="729">
        <f t="shared" si="73"/>
        <v>0</v>
      </c>
      <c r="J1175" s="729"/>
      <c r="K1175" s="881"/>
      <c r="L1175" s="735"/>
      <c r="M1175" s="881"/>
      <c r="N1175" s="735"/>
      <c r="O1175" s="735"/>
    </row>
    <row r="1176" spans="1:15">
      <c r="B1176" s="334"/>
      <c r="C1176" s="725">
        <f>IF(D1165="","-",+C1175+1)</f>
        <v>2023</v>
      </c>
      <c r="D1176" s="676">
        <f t="shared" si="74"/>
        <v>65985212.129943505</v>
      </c>
      <c r="E1176" s="1283">
        <f t="shared" si="77"/>
        <v>1203377.7288135593</v>
      </c>
      <c r="F1176" s="676">
        <f t="shared" si="72"/>
        <v>64781834.401129946</v>
      </c>
      <c r="G1176" s="1277">
        <f t="shared" si="75"/>
        <v>8258677.0040215757</v>
      </c>
      <c r="H1176" s="1280">
        <f t="shared" si="76"/>
        <v>8258677.0040215757</v>
      </c>
      <c r="I1176" s="729">
        <f t="shared" si="73"/>
        <v>0</v>
      </c>
      <c r="J1176" s="729"/>
      <c r="K1176" s="881"/>
      <c r="L1176" s="735"/>
      <c r="M1176" s="881"/>
      <c r="N1176" s="735"/>
      <c r="O1176" s="735"/>
    </row>
    <row r="1177" spans="1:15">
      <c r="B1177" s="334"/>
      <c r="C1177" s="725">
        <f>IF(D1165="","-",+C1176+1)</f>
        <v>2024</v>
      </c>
      <c r="D1177" s="676">
        <f t="shared" si="74"/>
        <v>64781834.401129946</v>
      </c>
      <c r="E1177" s="1283">
        <f t="shared" si="77"/>
        <v>1203377.7288135593</v>
      </c>
      <c r="F1177" s="676">
        <f t="shared" si="72"/>
        <v>63578456.672316387</v>
      </c>
      <c r="G1177" s="1277">
        <f t="shared" si="75"/>
        <v>8128824.8701220416</v>
      </c>
      <c r="H1177" s="1280">
        <f t="shared" si="76"/>
        <v>8128824.8701220416</v>
      </c>
      <c r="I1177" s="729">
        <f t="shared" si="73"/>
        <v>0</v>
      </c>
      <c r="J1177" s="729"/>
      <c r="K1177" s="881"/>
      <c r="L1177" s="735"/>
      <c r="M1177" s="881"/>
      <c r="N1177" s="735"/>
      <c r="O1177" s="735"/>
    </row>
    <row r="1178" spans="1:15">
      <c r="B1178" s="334"/>
      <c r="C1178" s="1305">
        <f>IF(D1165="","-",+C1177+1)</f>
        <v>2025</v>
      </c>
      <c r="D1178" s="1282">
        <f t="shared" si="74"/>
        <v>63578456.672316387</v>
      </c>
      <c r="E1178" s="1283">
        <f t="shared" si="77"/>
        <v>1203377.7288135593</v>
      </c>
      <c r="F1178" s="1282">
        <f t="shared" si="72"/>
        <v>62375078.943502828</v>
      </c>
      <c r="G1178" s="1284">
        <f t="shared" si="75"/>
        <v>7998972.7362225093</v>
      </c>
      <c r="H1178" s="1285">
        <f t="shared" si="76"/>
        <v>7998972.7362225093</v>
      </c>
      <c r="I1178" s="1291">
        <f t="shared" si="73"/>
        <v>0</v>
      </c>
      <c r="J1178" s="729"/>
      <c r="K1178" s="881"/>
      <c r="L1178" s="735"/>
      <c r="M1178" s="881"/>
      <c r="N1178" s="735"/>
      <c r="O1178" s="735"/>
    </row>
    <row r="1179" spans="1:15">
      <c r="B1179" s="334"/>
      <c r="C1179" s="725">
        <f>IF(D1165="","-",+C1178+1)</f>
        <v>2026</v>
      </c>
      <c r="D1179" s="676">
        <f t="shared" si="74"/>
        <v>62375078.943502828</v>
      </c>
      <c r="E1179" s="1283">
        <f t="shared" si="77"/>
        <v>1203377.7288135593</v>
      </c>
      <c r="F1179" s="676">
        <f t="shared" si="72"/>
        <v>61171701.21468927</v>
      </c>
      <c r="G1179" s="1277">
        <f t="shared" si="75"/>
        <v>7869120.6023229752</v>
      </c>
      <c r="H1179" s="1280">
        <f t="shared" si="76"/>
        <v>7869120.6023229752</v>
      </c>
      <c r="I1179" s="729">
        <f t="shared" si="73"/>
        <v>0</v>
      </c>
      <c r="J1179" s="729"/>
      <c r="K1179" s="881"/>
      <c r="L1179" s="735"/>
      <c r="M1179" s="881"/>
      <c r="N1179" s="735"/>
      <c r="O1179" s="735"/>
    </row>
    <row r="1180" spans="1:15">
      <c r="B1180" s="334"/>
      <c r="C1180" s="725">
        <f>IF(D1165="","-",+C1179+1)</f>
        <v>2027</v>
      </c>
      <c r="D1180" s="676">
        <f t="shared" si="74"/>
        <v>61171701.21468927</v>
      </c>
      <c r="E1180" s="1283">
        <f t="shared" si="77"/>
        <v>1203377.7288135593</v>
      </c>
      <c r="F1180" s="676">
        <f t="shared" si="72"/>
        <v>59968323.485875711</v>
      </c>
      <c r="G1180" s="1277">
        <f t="shared" si="75"/>
        <v>7739268.4684234411</v>
      </c>
      <c r="H1180" s="1280">
        <f t="shared" si="76"/>
        <v>7739268.4684234411</v>
      </c>
      <c r="I1180" s="729">
        <f t="shared" si="73"/>
        <v>0</v>
      </c>
      <c r="J1180" s="729"/>
      <c r="K1180" s="881"/>
      <c r="L1180" s="735"/>
      <c r="M1180" s="881"/>
      <c r="N1180" s="735"/>
      <c r="O1180" s="735"/>
    </row>
    <row r="1181" spans="1:15">
      <c r="B1181" s="334"/>
      <c r="C1181" s="725">
        <f>IF(D1165="","-",+C1180+1)</f>
        <v>2028</v>
      </c>
      <c r="D1181" s="676">
        <f t="shared" si="74"/>
        <v>59968323.485875711</v>
      </c>
      <c r="E1181" s="1283">
        <f t="shared" si="77"/>
        <v>1203377.7288135593</v>
      </c>
      <c r="F1181" s="676">
        <f t="shared" si="72"/>
        <v>58764945.757062152</v>
      </c>
      <c r="G1181" s="1277">
        <f t="shared" si="75"/>
        <v>7609416.3345239069</v>
      </c>
      <c r="H1181" s="1280">
        <f t="shared" si="76"/>
        <v>7609416.3345239069</v>
      </c>
      <c r="I1181" s="729">
        <f t="shared" si="73"/>
        <v>0</v>
      </c>
      <c r="J1181" s="729"/>
      <c r="K1181" s="881"/>
      <c r="L1181" s="735"/>
      <c r="M1181" s="881"/>
      <c r="N1181" s="735"/>
      <c r="O1181" s="735"/>
    </row>
    <row r="1182" spans="1:15">
      <c r="B1182" s="334"/>
      <c r="C1182" s="725">
        <f>IF(D1165="","-",+C1181+1)</f>
        <v>2029</v>
      </c>
      <c r="D1182" s="676">
        <f t="shared" si="74"/>
        <v>58764945.757062152</v>
      </c>
      <c r="E1182" s="1283">
        <f t="shared" si="77"/>
        <v>1203377.7288135593</v>
      </c>
      <c r="F1182" s="676">
        <f t="shared" si="72"/>
        <v>57561568.028248593</v>
      </c>
      <c r="G1182" s="1277">
        <f t="shared" si="75"/>
        <v>7479564.2006243728</v>
      </c>
      <c r="H1182" s="1280">
        <f t="shared" si="76"/>
        <v>7479564.2006243728</v>
      </c>
      <c r="I1182" s="729">
        <f t="shared" si="73"/>
        <v>0</v>
      </c>
      <c r="J1182" s="729"/>
      <c r="K1182" s="881"/>
      <c r="L1182" s="735"/>
      <c r="M1182" s="881"/>
      <c r="N1182" s="735"/>
      <c r="O1182" s="735"/>
    </row>
    <row r="1183" spans="1:15">
      <c r="B1183" s="334"/>
      <c r="C1183" s="725">
        <f>IF(D1165="","-",+C1182+1)</f>
        <v>2030</v>
      </c>
      <c r="D1183" s="676">
        <f t="shared" si="74"/>
        <v>57561568.028248593</v>
      </c>
      <c r="E1183" s="1283">
        <f t="shared" si="77"/>
        <v>1203377.7288135593</v>
      </c>
      <c r="F1183" s="676">
        <f t="shared" si="72"/>
        <v>56358190.299435034</v>
      </c>
      <c r="G1183" s="1277">
        <f t="shared" si="75"/>
        <v>7349712.0667248387</v>
      </c>
      <c r="H1183" s="1280">
        <f t="shared" si="76"/>
        <v>7349712.0667248387</v>
      </c>
      <c r="I1183" s="729">
        <f t="shared" si="73"/>
        <v>0</v>
      </c>
      <c r="J1183" s="729"/>
      <c r="K1183" s="881"/>
      <c r="L1183" s="735"/>
      <c r="M1183" s="881"/>
      <c r="N1183" s="736"/>
      <c r="O1183" s="735"/>
    </row>
    <row r="1184" spans="1:15">
      <c r="B1184" s="334"/>
      <c r="C1184" s="725">
        <f>IF(D1165="","-",+C1183+1)</f>
        <v>2031</v>
      </c>
      <c r="D1184" s="676">
        <f t="shared" si="74"/>
        <v>56358190.299435034</v>
      </c>
      <c r="E1184" s="1283">
        <f t="shared" si="77"/>
        <v>1203377.7288135593</v>
      </c>
      <c r="F1184" s="676">
        <f t="shared" si="72"/>
        <v>55154812.570621476</v>
      </c>
      <c r="G1184" s="1277">
        <f t="shared" si="75"/>
        <v>7219859.9328253046</v>
      </c>
      <c r="H1184" s="1280">
        <f t="shared" si="76"/>
        <v>7219859.9328253046</v>
      </c>
      <c r="I1184" s="729">
        <f t="shared" si="73"/>
        <v>0</v>
      </c>
      <c r="J1184" s="729"/>
      <c r="K1184" s="881"/>
      <c r="L1184" s="735"/>
      <c r="M1184" s="881"/>
      <c r="N1184" s="735"/>
      <c r="O1184" s="735"/>
    </row>
    <row r="1185" spans="2:15">
      <c r="B1185" s="334"/>
      <c r="C1185" s="725">
        <f>IF(D1165="","-",+C1184+1)</f>
        <v>2032</v>
      </c>
      <c r="D1185" s="676">
        <f t="shared" si="74"/>
        <v>55154812.570621476</v>
      </c>
      <c r="E1185" s="1283">
        <f t="shared" si="77"/>
        <v>1203377.7288135593</v>
      </c>
      <c r="F1185" s="676">
        <f t="shared" si="72"/>
        <v>53951434.841807917</v>
      </c>
      <c r="G1185" s="1277">
        <f t="shared" si="75"/>
        <v>7090007.7989257704</v>
      </c>
      <c r="H1185" s="1280">
        <f t="shared" si="76"/>
        <v>7090007.7989257704</v>
      </c>
      <c r="I1185" s="729">
        <f t="shared" si="73"/>
        <v>0</v>
      </c>
      <c r="J1185" s="729"/>
      <c r="K1185" s="881"/>
      <c r="L1185" s="735"/>
      <c r="M1185" s="881"/>
      <c r="N1185" s="735"/>
      <c r="O1185" s="735"/>
    </row>
    <row r="1186" spans="2:15">
      <c r="B1186" s="334"/>
      <c r="C1186" s="725">
        <f>IF(D1165="","-",+C1185+1)</f>
        <v>2033</v>
      </c>
      <c r="D1186" s="676">
        <f t="shared" si="74"/>
        <v>53951434.841807917</v>
      </c>
      <c r="E1186" s="1283">
        <f t="shared" si="77"/>
        <v>1203377.7288135593</v>
      </c>
      <c r="F1186" s="676">
        <f t="shared" si="72"/>
        <v>52748057.112994358</v>
      </c>
      <c r="G1186" s="1277">
        <f t="shared" si="75"/>
        <v>6960155.6650262363</v>
      </c>
      <c r="H1186" s="1280">
        <f t="shared" si="76"/>
        <v>6960155.6650262363</v>
      </c>
      <c r="I1186" s="729">
        <f t="shared" si="73"/>
        <v>0</v>
      </c>
      <c r="J1186" s="729"/>
      <c r="K1186" s="881"/>
      <c r="L1186" s="735"/>
      <c r="M1186" s="881"/>
      <c r="N1186" s="735"/>
      <c r="O1186" s="735"/>
    </row>
    <row r="1187" spans="2:15">
      <c r="B1187" s="334"/>
      <c r="C1187" s="725">
        <f>IF(D1165="","-",+C1186+1)</f>
        <v>2034</v>
      </c>
      <c r="D1187" s="676">
        <f t="shared" si="74"/>
        <v>52748057.112994358</v>
      </c>
      <c r="E1187" s="1283">
        <f t="shared" si="77"/>
        <v>1203377.7288135593</v>
      </c>
      <c r="F1187" s="676">
        <f t="shared" si="72"/>
        <v>51544679.384180799</v>
      </c>
      <c r="G1187" s="1277">
        <f t="shared" si="75"/>
        <v>6830303.5311267022</v>
      </c>
      <c r="H1187" s="1280">
        <f t="shared" si="76"/>
        <v>6830303.5311267022</v>
      </c>
      <c r="I1187" s="729">
        <f t="shared" si="73"/>
        <v>0</v>
      </c>
      <c r="J1187" s="729"/>
      <c r="K1187" s="881"/>
      <c r="L1187" s="735"/>
      <c r="M1187" s="881"/>
      <c r="N1187" s="735"/>
      <c r="O1187" s="735"/>
    </row>
    <row r="1188" spans="2:15">
      <c r="B1188" s="334"/>
      <c r="C1188" s="725">
        <f>IF(D1165="","-",+C1187+1)</f>
        <v>2035</v>
      </c>
      <c r="D1188" s="676">
        <f t="shared" si="74"/>
        <v>51544679.384180799</v>
      </c>
      <c r="E1188" s="1283">
        <f t="shared" si="77"/>
        <v>1203377.7288135593</v>
      </c>
      <c r="F1188" s="676">
        <f t="shared" si="72"/>
        <v>50341301.65536724</v>
      </c>
      <c r="G1188" s="1277">
        <f t="shared" si="75"/>
        <v>6700451.3972271681</v>
      </c>
      <c r="H1188" s="1280">
        <f t="shared" si="76"/>
        <v>6700451.3972271681</v>
      </c>
      <c r="I1188" s="729">
        <f t="shared" si="73"/>
        <v>0</v>
      </c>
      <c r="J1188" s="729"/>
      <c r="K1188" s="881"/>
      <c r="L1188" s="735"/>
      <c r="M1188" s="881"/>
      <c r="N1188" s="735"/>
      <c r="O1188" s="735"/>
    </row>
    <row r="1189" spans="2:15">
      <c r="B1189" s="334"/>
      <c r="C1189" s="725">
        <f>IF(D1165="","-",+C1188+1)</f>
        <v>2036</v>
      </c>
      <c r="D1189" s="676">
        <f t="shared" si="74"/>
        <v>50341301.65536724</v>
      </c>
      <c r="E1189" s="1283">
        <f t="shared" si="77"/>
        <v>1203377.7288135593</v>
      </c>
      <c r="F1189" s="676">
        <f t="shared" si="72"/>
        <v>49137923.926553681</v>
      </c>
      <c r="G1189" s="1277">
        <f t="shared" si="75"/>
        <v>6570599.263327634</v>
      </c>
      <c r="H1189" s="1280">
        <f t="shared" si="76"/>
        <v>6570599.263327634</v>
      </c>
      <c r="I1189" s="729">
        <f t="shared" si="73"/>
        <v>0</v>
      </c>
      <c r="J1189" s="729"/>
      <c r="K1189" s="881"/>
      <c r="L1189" s="735"/>
      <c r="M1189" s="881"/>
      <c r="N1189" s="735"/>
      <c r="O1189" s="735"/>
    </row>
    <row r="1190" spans="2:15">
      <c r="B1190" s="334"/>
      <c r="C1190" s="725">
        <f>IF(D1165="","-",+C1189+1)</f>
        <v>2037</v>
      </c>
      <c r="D1190" s="676">
        <f t="shared" si="74"/>
        <v>49137923.926553681</v>
      </c>
      <c r="E1190" s="1283">
        <f t="shared" si="77"/>
        <v>1203377.7288135593</v>
      </c>
      <c r="F1190" s="676">
        <f t="shared" si="72"/>
        <v>47934546.197740123</v>
      </c>
      <c r="G1190" s="1277">
        <f t="shared" si="75"/>
        <v>6440747.1294280998</v>
      </c>
      <c r="H1190" s="1280">
        <f t="shared" si="76"/>
        <v>6440747.1294280998</v>
      </c>
      <c r="I1190" s="729">
        <f t="shared" si="73"/>
        <v>0</v>
      </c>
      <c r="J1190" s="729"/>
      <c r="K1190" s="881"/>
      <c r="L1190" s="735"/>
      <c r="M1190" s="881"/>
      <c r="N1190" s="735"/>
      <c r="O1190" s="735"/>
    </row>
    <row r="1191" spans="2:15">
      <c r="B1191" s="334"/>
      <c r="C1191" s="725">
        <f>IF(D1165="","-",+C1190+1)</f>
        <v>2038</v>
      </c>
      <c r="D1191" s="676">
        <f t="shared" si="74"/>
        <v>47934546.197740123</v>
      </c>
      <c r="E1191" s="1283">
        <f t="shared" si="77"/>
        <v>1203377.7288135593</v>
      </c>
      <c r="F1191" s="676">
        <f t="shared" si="72"/>
        <v>46731168.468926564</v>
      </c>
      <c r="G1191" s="1277">
        <f t="shared" si="75"/>
        <v>6310894.9955285657</v>
      </c>
      <c r="H1191" s="1280">
        <f t="shared" si="76"/>
        <v>6310894.9955285657</v>
      </c>
      <c r="I1191" s="729">
        <f t="shared" si="73"/>
        <v>0</v>
      </c>
      <c r="J1191" s="729"/>
      <c r="K1191" s="881"/>
      <c r="L1191" s="735"/>
      <c r="M1191" s="881"/>
      <c r="N1191" s="735"/>
      <c r="O1191" s="735"/>
    </row>
    <row r="1192" spans="2:15">
      <c r="B1192" s="334"/>
      <c r="C1192" s="725">
        <f>IF(D1165="","-",+C1191+1)</f>
        <v>2039</v>
      </c>
      <c r="D1192" s="676">
        <f t="shared" si="74"/>
        <v>46731168.468926564</v>
      </c>
      <c r="E1192" s="1283">
        <f t="shared" si="77"/>
        <v>1203377.7288135593</v>
      </c>
      <c r="F1192" s="676">
        <f t="shared" si="72"/>
        <v>45527790.740113005</v>
      </c>
      <c r="G1192" s="1277">
        <f t="shared" si="75"/>
        <v>6181042.8616290316</v>
      </c>
      <c r="H1192" s="1280">
        <f t="shared" si="76"/>
        <v>6181042.8616290316</v>
      </c>
      <c r="I1192" s="729">
        <f t="shared" si="73"/>
        <v>0</v>
      </c>
      <c r="J1192" s="729"/>
      <c r="K1192" s="881"/>
      <c r="L1192" s="735"/>
      <c r="M1192" s="881"/>
      <c r="N1192" s="735"/>
      <c r="O1192" s="735"/>
    </row>
    <row r="1193" spans="2:15">
      <c r="B1193" s="334"/>
      <c r="C1193" s="725">
        <f>IF(D1165="","-",+C1192+1)</f>
        <v>2040</v>
      </c>
      <c r="D1193" s="676">
        <f t="shared" si="74"/>
        <v>45527790.740113005</v>
      </c>
      <c r="E1193" s="1283">
        <f t="shared" si="77"/>
        <v>1203377.7288135593</v>
      </c>
      <c r="F1193" s="676">
        <f t="shared" si="72"/>
        <v>44324413.011299446</v>
      </c>
      <c r="G1193" s="1277">
        <f t="shared" si="75"/>
        <v>6051190.7277294993</v>
      </c>
      <c r="H1193" s="1280">
        <f t="shared" si="76"/>
        <v>6051190.7277294993</v>
      </c>
      <c r="I1193" s="729">
        <f t="shared" si="73"/>
        <v>0</v>
      </c>
      <c r="J1193" s="729"/>
      <c r="K1193" s="881"/>
      <c r="L1193" s="735"/>
      <c r="M1193" s="881"/>
      <c r="N1193" s="735"/>
      <c r="O1193" s="735"/>
    </row>
    <row r="1194" spans="2:15">
      <c r="B1194" s="334"/>
      <c r="C1194" s="725">
        <f>IF(D1165="","-",+C1193+1)</f>
        <v>2041</v>
      </c>
      <c r="D1194" s="676">
        <f t="shared" si="74"/>
        <v>44324413.011299446</v>
      </c>
      <c r="E1194" s="1283">
        <f t="shared" si="77"/>
        <v>1203377.7288135593</v>
      </c>
      <c r="F1194" s="676">
        <f t="shared" si="72"/>
        <v>43121035.282485887</v>
      </c>
      <c r="G1194" s="1277">
        <f t="shared" si="75"/>
        <v>5921338.5938299652</v>
      </c>
      <c r="H1194" s="1280">
        <f t="shared" si="76"/>
        <v>5921338.5938299652</v>
      </c>
      <c r="I1194" s="729">
        <f t="shared" si="73"/>
        <v>0</v>
      </c>
      <c r="J1194" s="729"/>
      <c r="K1194" s="881"/>
      <c r="L1194" s="735"/>
      <c r="M1194" s="881"/>
      <c r="N1194" s="735"/>
      <c r="O1194" s="735"/>
    </row>
    <row r="1195" spans="2:15">
      <c r="B1195" s="334"/>
      <c r="C1195" s="725">
        <f>IF(D1165="","-",+C1194+1)</f>
        <v>2042</v>
      </c>
      <c r="D1195" s="676">
        <f t="shared" si="74"/>
        <v>43121035.282485887</v>
      </c>
      <c r="E1195" s="1283">
        <f t="shared" si="77"/>
        <v>1203377.7288135593</v>
      </c>
      <c r="F1195" s="676">
        <f t="shared" si="72"/>
        <v>41917657.553672329</v>
      </c>
      <c r="G1195" s="1277">
        <f t="shared" si="75"/>
        <v>5791486.4599304311</v>
      </c>
      <c r="H1195" s="1280">
        <f t="shared" si="76"/>
        <v>5791486.4599304311</v>
      </c>
      <c r="I1195" s="729">
        <f t="shared" si="73"/>
        <v>0</v>
      </c>
      <c r="J1195" s="729"/>
      <c r="K1195" s="881"/>
      <c r="L1195" s="735"/>
      <c r="M1195" s="881"/>
      <c r="N1195" s="735"/>
      <c r="O1195" s="735"/>
    </row>
    <row r="1196" spans="2:15">
      <c r="B1196" s="334"/>
      <c r="C1196" s="725">
        <f>IF(D1165="","-",+C1195+1)</f>
        <v>2043</v>
      </c>
      <c r="D1196" s="676">
        <f t="shared" si="74"/>
        <v>41917657.553672329</v>
      </c>
      <c r="E1196" s="1283">
        <f t="shared" si="77"/>
        <v>1203377.7288135593</v>
      </c>
      <c r="F1196" s="676">
        <f t="shared" si="72"/>
        <v>40714279.82485877</v>
      </c>
      <c r="G1196" s="1277">
        <f t="shared" si="75"/>
        <v>5661634.326030897</v>
      </c>
      <c r="H1196" s="1280">
        <f t="shared" si="76"/>
        <v>5661634.326030897</v>
      </c>
      <c r="I1196" s="729">
        <f t="shared" si="73"/>
        <v>0</v>
      </c>
      <c r="J1196" s="729"/>
      <c r="K1196" s="881"/>
      <c r="L1196" s="735"/>
      <c r="M1196" s="881"/>
      <c r="N1196" s="735"/>
      <c r="O1196" s="735"/>
    </row>
    <row r="1197" spans="2:15">
      <c r="B1197" s="334"/>
      <c r="C1197" s="725">
        <f>IF(D1165="","-",+C1196+1)</f>
        <v>2044</v>
      </c>
      <c r="D1197" s="676">
        <f t="shared" si="74"/>
        <v>40714279.82485877</v>
      </c>
      <c r="E1197" s="1283">
        <f t="shared" si="77"/>
        <v>1203377.7288135593</v>
      </c>
      <c r="F1197" s="676">
        <f t="shared" si="72"/>
        <v>39510902.096045211</v>
      </c>
      <c r="G1197" s="1277">
        <f t="shared" si="75"/>
        <v>5531782.1921313629</v>
      </c>
      <c r="H1197" s="1280">
        <f t="shared" si="76"/>
        <v>5531782.1921313629</v>
      </c>
      <c r="I1197" s="729">
        <f t="shared" si="73"/>
        <v>0</v>
      </c>
      <c r="J1197" s="729"/>
      <c r="K1197" s="881"/>
      <c r="L1197" s="735"/>
      <c r="M1197" s="881"/>
      <c r="N1197" s="735"/>
      <c r="O1197" s="735"/>
    </row>
    <row r="1198" spans="2:15">
      <c r="B1198" s="334"/>
      <c r="C1198" s="725">
        <f>IF(D1165="","-",+C1197+1)</f>
        <v>2045</v>
      </c>
      <c r="D1198" s="676">
        <f t="shared" si="74"/>
        <v>39510902.096045211</v>
      </c>
      <c r="E1198" s="1283">
        <f t="shared" si="77"/>
        <v>1203377.7288135593</v>
      </c>
      <c r="F1198" s="676">
        <f t="shared" si="72"/>
        <v>38307524.367231652</v>
      </c>
      <c r="G1198" s="1277">
        <f t="shared" si="75"/>
        <v>5401930.0582318287</v>
      </c>
      <c r="H1198" s="1280">
        <f t="shared" si="76"/>
        <v>5401930.0582318287</v>
      </c>
      <c r="I1198" s="729">
        <f t="shared" si="73"/>
        <v>0</v>
      </c>
      <c r="J1198" s="729"/>
      <c r="K1198" s="881"/>
      <c r="L1198" s="735"/>
      <c r="M1198" s="881"/>
      <c r="N1198" s="735"/>
      <c r="O1198" s="735"/>
    </row>
    <row r="1199" spans="2:15">
      <c r="B1199" s="334"/>
      <c r="C1199" s="725">
        <f>IF(D1165="","-",+C1198+1)</f>
        <v>2046</v>
      </c>
      <c r="D1199" s="676">
        <f t="shared" si="74"/>
        <v>38307524.367231652</v>
      </c>
      <c r="E1199" s="1283">
        <f t="shared" si="77"/>
        <v>1203377.7288135593</v>
      </c>
      <c r="F1199" s="676">
        <f t="shared" si="72"/>
        <v>37104146.638418093</v>
      </c>
      <c r="G1199" s="1286">
        <f t="shared" si="75"/>
        <v>5272077.9243322946</v>
      </c>
      <c r="H1199" s="1280">
        <f t="shared" si="76"/>
        <v>5272077.9243322946</v>
      </c>
      <c r="I1199" s="729">
        <f t="shared" si="73"/>
        <v>0</v>
      </c>
      <c r="J1199" s="729"/>
      <c r="K1199" s="881"/>
      <c r="L1199" s="735"/>
      <c r="M1199" s="881"/>
      <c r="N1199" s="735"/>
      <c r="O1199" s="735"/>
    </row>
    <row r="1200" spans="2:15">
      <c r="B1200" s="334"/>
      <c r="C1200" s="725">
        <f>IF(D1165="","-",+C1199+1)</f>
        <v>2047</v>
      </c>
      <c r="D1200" s="676">
        <f t="shared" si="74"/>
        <v>37104146.638418093</v>
      </c>
      <c r="E1200" s="1283">
        <f t="shared" si="77"/>
        <v>1203377.7288135593</v>
      </c>
      <c r="F1200" s="676">
        <f t="shared" si="72"/>
        <v>35900768.909604535</v>
      </c>
      <c r="G1200" s="1277">
        <f t="shared" si="75"/>
        <v>5142225.7904327605</v>
      </c>
      <c r="H1200" s="1280">
        <f t="shared" si="76"/>
        <v>5142225.7904327605</v>
      </c>
      <c r="I1200" s="729">
        <f t="shared" si="73"/>
        <v>0</v>
      </c>
      <c r="J1200" s="729"/>
      <c r="K1200" s="881"/>
      <c r="L1200" s="735"/>
      <c r="M1200" s="881"/>
      <c r="N1200" s="735"/>
      <c r="O1200" s="735"/>
    </row>
    <row r="1201" spans="2:15">
      <c r="B1201" s="334"/>
      <c r="C1201" s="725">
        <f>IF(D1165="","-",+C1200+1)</f>
        <v>2048</v>
      </c>
      <c r="D1201" s="676">
        <f t="shared" si="74"/>
        <v>35900768.909604535</v>
      </c>
      <c r="E1201" s="1283">
        <f t="shared" si="77"/>
        <v>1203377.7288135593</v>
      </c>
      <c r="F1201" s="676">
        <f t="shared" si="72"/>
        <v>34697391.180790976</v>
      </c>
      <c r="G1201" s="1277">
        <f t="shared" si="75"/>
        <v>5012373.6565332264</v>
      </c>
      <c r="H1201" s="1280">
        <f t="shared" si="76"/>
        <v>5012373.6565332264</v>
      </c>
      <c r="I1201" s="729">
        <f t="shared" si="73"/>
        <v>0</v>
      </c>
      <c r="J1201" s="729"/>
      <c r="K1201" s="881"/>
      <c r="L1201" s="735"/>
      <c r="M1201" s="881"/>
      <c r="N1201" s="735"/>
      <c r="O1201" s="735"/>
    </row>
    <row r="1202" spans="2:15">
      <c r="B1202" s="334"/>
      <c r="C1202" s="725">
        <f>IF(D1165="","-",+C1201+1)</f>
        <v>2049</v>
      </c>
      <c r="D1202" s="676">
        <f t="shared" si="74"/>
        <v>34697391.180790976</v>
      </c>
      <c r="E1202" s="1283">
        <f t="shared" si="77"/>
        <v>1203377.7288135593</v>
      </c>
      <c r="F1202" s="676">
        <f t="shared" si="72"/>
        <v>33494013.451977417</v>
      </c>
      <c r="G1202" s="1277">
        <f t="shared" si="75"/>
        <v>4882521.5226336922</v>
      </c>
      <c r="H1202" s="1280">
        <f t="shared" si="76"/>
        <v>4882521.5226336922</v>
      </c>
      <c r="I1202" s="729">
        <f t="shared" si="73"/>
        <v>0</v>
      </c>
      <c r="J1202" s="729"/>
      <c r="K1202" s="881"/>
      <c r="L1202" s="735"/>
      <c r="M1202" s="881"/>
      <c r="N1202" s="735"/>
      <c r="O1202" s="735"/>
    </row>
    <row r="1203" spans="2:15">
      <c r="B1203" s="334"/>
      <c r="C1203" s="725">
        <f>IF(D1165="","-",+C1202+1)</f>
        <v>2050</v>
      </c>
      <c r="D1203" s="676">
        <f t="shared" si="74"/>
        <v>33494013.451977417</v>
      </c>
      <c r="E1203" s="1283">
        <f t="shared" si="77"/>
        <v>1203377.7288135593</v>
      </c>
      <c r="F1203" s="676">
        <f t="shared" si="72"/>
        <v>32290635.723163858</v>
      </c>
      <c r="G1203" s="1277">
        <f t="shared" si="75"/>
        <v>4752669.3887341581</v>
      </c>
      <c r="H1203" s="1280">
        <f t="shared" si="76"/>
        <v>4752669.3887341581</v>
      </c>
      <c r="I1203" s="729">
        <f t="shared" si="73"/>
        <v>0</v>
      </c>
      <c r="J1203" s="729"/>
      <c r="K1203" s="881"/>
      <c r="L1203" s="735"/>
      <c r="M1203" s="881"/>
      <c r="N1203" s="735"/>
      <c r="O1203" s="735"/>
    </row>
    <row r="1204" spans="2:15">
      <c r="B1204" s="334"/>
      <c r="C1204" s="725">
        <f>IF(D1165="","-",+C1203+1)</f>
        <v>2051</v>
      </c>
      <c r="D1204" s="676">
        <f t="shared" si="74"/>
        <v>32290635.723163858</v>
      </c>
      <c r="E1204" s="1283">
        <f t="shared" si="77"/>
        <v>1203377.7288135593</v>
      </c>
      <c r="F1204" s="676">
        <f t="shared" si="72"/>
        <v>31087257.994350299</v>
      </c>
      <c r="G1204" s="1277">
        <f t="shared" si="75"/>
        <v>4622817.254834624</v>
      </c>
      <c r="H1204" s="1280">
        <f t="shared" si="76"/>
        <v>4622817.254834624</v>
      </c>
      <c r="I1204" s="729">
        <f t="shared" si="73"/>
        <v>0</v>
      </c>
      <c r="J1204" s="729"/>
      <c r="K1204" s="881"/>
      <c r="L1204" s="735"/>
      <c r="M1204" s="881"/>
      <c r="N1204" s="735"/>
      <c r="O1204" s="735"/>
    </row>
    <row r="1205" spans="2:15">
      <c r="B1205" s="334"/>
      <c r="C1205" s="725">
        <f>IF(D1165="","-",+C1204+1)</f>
        <v>2052</v>
      </c>
      <c r="D1205" s="676">
        <f t="shared" si="74"/>
        <v>31087257.994350299</v>
      </c>
      <c r="E1205" s="1283">
        <f t="shared" si="77"/>
        <v>1203377.7288135593</v>
      </c>
      <c r="F1205" s="676">
        <f t="shared" si="72"/>
        <v>29883880.26553674</v>
      </c>
      <c r="G1205" s="1277">
        <f t="shared" si="75"/>
        <v>4492965.1209350899</v>
      </c>
      <c r="H1205" s="1280">
        <f t="shared" si="76"/>
        <v>4492965.1209350899</v>
      </c>
      <c r="I1205" s="729">
        <f t="shared" si="73"/>
        <v>0</v>
      </c>
      <c r="J1205" s="729"/>
      <c r="K1205" s="881"/>
      <c r="L1205" s="735"/>
      <c r="M1205" s="881"/>
      <c r="N1205" s="735"/>
      <c r="O1205" s="735"/>
    </row>
    <row r="1206" spans="2:15">
      <c r="B1206" s="334"/>
      <c r="C1206" s="725">
        <f>IF(D1165="","-",+C1205+1)</f>
        <v>2053</v>
      </c>
      <c r="D1206" s="676">
        <f t="shared" si="74"/>
        <v>29883880.26553674</v>
      </c>
      <c r="E1206" s="1283">
        <f t="shared" si="77"/>
        <v>1203377.7288135593</v>
      </c>
      <c r="F1206" s="676">
        <f t="shared" si="72"/>
        <v>28680502.536723182</v>
      </c>
      <c r="G1206" s="1277">
        <f t="shared" si="75"/>
        <v>4363112.9870355558</v>
      </c>
      <c r="H1206" s="1280">
        <f t="shared" si="76"/>
        <v>4363112.9870355558</v>
      </c>
      <c r="I1206" s="729">
        <f t="shared" si="73"/>
        <v>0</v>
      </c>
      <c r="J1206" s="729"/>
      <c r="K1206" s="881"/>
      <c r="L1206" s="735"/>
      <c r="M1206" s="881"/>
      <c r="N1206" s="735"/>
      <c r="O1206" s="735"/>
    </row>
    <row r="1207" spans="2:15">
      <c r="B1207" s="334"/>
      <c r="C1207" s="725">
        <f>IF(D1165="","-",+C1206+1)</f>
        <v>2054</v>
      </c>
      <c r="D1207" s="676">
        <f t="shared" si="74"/>
        <v>28680502.536723182</v>
      </c>
      <c r="E1207" s="1283">
        <f t="shared" si="77"/>
        <v>1203377.7288135593</v>
      </c>
      <c r="F1207" s="676">
        <f t="shared" si="72"/>
        <v>27477124.807909623</v>
      </c>
      <c r="G1207" s="1277">
        <f t="shared" si="75"/>
        <v>4233260.8531360226</v>
      </c>
      <c r="H1207" s="1280">
        <f t="shared" si="76"/>
        <v>4233260.8531360226</v>
      </c>
      <c r="I1207" s="729">
        <f t="shared" si="73"/>
        <v>0</v>
      </c>
      <c r="J1207" s="729"/>
      <c r="K1207" s="881"/>
      <c r="L1207" s="735"/>
      <c r="M1207" s="881"/>
      <c r="N1207" s="735"/>
      <c r="O1207" s="735"/>
    </row>
    <row r="1208" spans="2:15">
      <c r="B1208" s="334"/>
      <c r="C1208" s="725">
        <f>IF(D1165="","-",+C1207+1)</f>
        <v>2055</v>
      </c>
      <c r="D1208" s="676">
        <f t="shared" si="74"/>
        <v>27477124.807909623</v>
      </c>
      <c r="E1208" s="1283">
        <f t="shared" si="77"/>
        <v>1203377.7288135593</v>
      </c>
      <c r="F1208" s="676">
        <f t="shared" si="72"/>
        <v>26273747.079096064</v>
      </c>
      <c r="G1208" s="1277">
        <f t="shared" si="75"/>
        <v>4103408.7192364885</v>
      </c>
      <c r="H1208" s="1280">
        <f t="shared" si="76"/>
        <v>4103408.7192364885</v>
      </c>
      <c r="I1208" s="729">
        <f t="shared" si="73"/>
        <v>0</v>
      </c>
      <c r="J1208" s="729"/>
      <c r="K1208" s="881"/>
      <c r="L1208" s="735"/>
      <c r="M1208" s="881"/>
      <c r="N1208" s="735"/>
      <c r="O1208" s="735"/>
    </row>
    <row r="1209" spans="2:15">
      <c r="B1209" s="334"/>
      <c r="C1209" s="725">
        <f>IF(D1165="","-",+C1208+1)</f>
        <v>2056</v>
      </c>
      <c r="D1209" s="676">
        <f t="shared" si="74"/>
        <v>26273747.079096064</v>
      </c>
      <c r="E1209" s="1283">
        <f t="shared" si="77"/>
        <v>1203377.7288135593</v>
      </c>
      <c r="F1209" s="676">
        <f t="shared" si="72"/>
        <v>25070369.350282505</v>
      </c>
      <c r="G1209" s="1277">
        <f t="shared" si="75"/>
        <v>3973556.5853369543</v>
      </c>
      <c r="H1209" s="1280">
        <f t="shared" si="76"/>
        <v>3973556.5853369543</v>
      </c>
      <c r="I1209" s="729">
        <f t="shared" si="73"/>
        <v>0</v>
      </c>
      <c r="J1209" s="729"/>
      <c r="K1209" s="881"/>
      <c r="L1209" s="735"/>
      <c r="M1209" s="881"/>
      <c r="N1209" s="735"/>
      <c r="O1209" s="735"/>
    </row>
    <row r="1210" spans="2:15">
      <c r="B1210" s="334"/>
      <c r="C1210" s="725">
        <f>IF(D1165="","-",+C1209+1)</f>
        <v>2057</v>
      </c>
      <c r="D1210" s="676">
        <f t="shared" si="74"/>
        <v>25070369.350282505</v>
      </c>
      <c r="E1210" s="1283">
        <f t="shared" si="77"/>
        <v>1203377.7288135593</v>
      </c>
      <c r="F1210" s="676">
        <f t="shared" si="72"/>
        <v>23866991.621468946</v>
      </c>
      <c r="G1210" s="1277">
        <f t="shared" si="75"/>
        <v>3843704.4514374207</v>
      </c>
      <c r="H1210" s="1280">
        <f t="shared" si="76"/>
        <v>3843704.4514374207</v>
      </c>
      <c r="I1210" s="729">
        <f t="shared" si="73"/>
        <v>0</v>
      </c>
      <c r="J1210" s="729"/>
      <c r="K1210" s="881"/>
      <c r="L1210" s="735"/>
      <c r="M1210" s="881"/>
      <c r="N1210" s="735"/>
      <c r="O1210" s="735"/>
    </row>
    <row r="1211" spans="2:15">
      <c r="B1211" s="334"/>
      <c r="C1211" s="725">
        <f>IF(D1165="","-",+C1210+1)</f>
        <v>2058</v>
      </c>
      <c r="D1211" s="676">
        <f t="shared" si="74"/>
        <v>23866991.621468946</v>
      </c>
      <c r="E1211" s="1283">
        <f t="shared" si="77"/>
        <v>1203377.7288135593</v>
      </c>
      <c r="F1211" s="676">
        <f t="shared" si="72"/>
        <v>22663613.892655388</v>
      </c>
      <c r="G1211" s="1277">
        <f t="shared" si="75"/>
        <v>3713852.3175378866</v>
      </c>
      <c r="H1211" s="1280">
        <f t="shared" si="76"/>
        <v>3713852.3175378866</v>
      </c>
      <c r="I1211" s="729">
        <f t="shared" si="73"/>
        <v>0</v>
      </c>
      <c r="J1211" s="729"/>
      <c r="K1211" s="881"/>
      <c r="L1211" s="735"/>
      <c r="M1211" s="881"/>
      <c r="N1211" s="735"/>
      <c r="O1211" s="735"/>
    </row>
    <row r="1212" spans="2:15">
      <c r="B1212" s="334"/>
      <c r="C1212" s="725">
        <f>IF(D1165="","-",+C1211+1)</f>
        <v>2059</v>
      </c>
      <c r="D1212" s="676">
        <f t="shared" si="74"/>
        <v>22663613.892655388</v>
      </c>
      <c r="E1212" s="1283">
        <f t="shared" si="77"/>
        <v>1203377.7288135593</v>
      </c>
      <c r="F1212" s="676">
        <f t="shared" si="72"/>
        <v>21460236.163841829</v>
      </c>
      <c r="G1212" s="1277">
        <f t="shared" si="75"/>
        <v>3584000.1836383524</v>
      </c>
      <c r="H1212" s="1280">
        <f t="shared" si="76"/>
        <v>3584000.1836383524</v>
      </c>
      <c r="I1212" s="729">
        <f t="shared" si="73"/>
        <v>0</v>
      </c>
      <c r="J1212" s="729"/>
      <c r="K1212" s="881"/>
      <c r="L1212" s="735"/>
      <c r="M1212" s="881"/>
      <c r="N1212" s="735"/>
      <c r="O1212" s="735"/>
    </row>
    <row r="1213" spans="2:15">
      <c r="B1213" s="334"/>
      <c r="C1213" s="725">
        <f>IF(D1165="","-",+C1212+1)</f>
        <v>2060</v>
      </c>
      <c r="D1213" s="676">
        <f t="shared" si="74"/>
        <v>21460236.163841829</v>
      </c>
      <c r="E1213" s="1283">
        <f t="shared" si="77"/>
        <v>1203377.7288135593</v>
      </c>
      <c r="F1213" s="676">
        <f t="shared" si="72"/>
        <v>20256858.43502827</v>
      </c>
      <c r="G1213" s="1277">
        <f t="shared" si="75"/>
        <v>3454148.0497388183</v>
      </c>
      <c r="H1213" s="1280">
        <f t="shared" si="76"/>
        <v>3454148.0497388183</v>
      </c>
      <c r="I1213" s="729">
        <f t="shared" si="73"/>
        <v>0</v>
      </c>
      <c r="J1213" s="729"/>
      <c r="K1213" s="881"/>
      <c r="L1213" s="735"/>
      <c r="M1213" s="881"/>
      <c r="N1213" s="735"/>
      <c r="O1213" s="735"/>
    </row>
    <row r="1214" spans="2:15">
      <c r="B1214" s="334"/>
      <c r="C1214" s="725">
        <f>IF(D1165="","-",+C1213+1)</f>
        <v>2061</v>
      </c>
      <c r="D1214" s="676">
        <f t="shared" si="74"/>
        <v>20256858.43502827</v>
      </c>
      <c r="E1214" s="1283">
        <f t="shared" si="77"/>
        <v>1203377.7288135593</v>
      </c>
      <c r="F1214" s="676">
        <f t="shared" si="72"/>
        <v>19053480.706214711</v>
      </c>
      <c r="G1214" s="1277">
        <f t="shared" si="75"/>
        <v>3324295.9158392847</v>
      </c>
      <c r="H1214" s="1280">
        <f t="shared" si="76"/>
        <v>3324295.9158392847</v>
      </c>
      <c r="I1214" s="729">
        <f t="shared" si="73"/>
        <v>0</v>
      </c>
      <c r="J1214" s="729"/>
      <c r="K1214" s="881"/>
      <c r="L1214" s="735"/>
      <c r="M1214" s="881"/>
      <c r="N1214" s="735"/>
      <c r="O1214" s="735"/>
    </row>
    <row r="1215" spans="2:15">
      <c r="B1215" s="334"/>
      <c r="C1215" s="725">
        <f>IF(D1165="","-",+C1214+1)</f>
        <v>2062</v>
      </c>
      <c r="D1215" s="676">
        <f t="shared" si="74"/>
        <v>19053480.706214711</v>
      </c>
      <c r="E1215" s="1283">
        <f t="shared" si="77"/>
        <v>1203377.7288135593</v>
      </c>
      <c r="F1215" s="676">
        <f t="shared" si="72"/>
        <v>17850102.977401152</v>
      </c>
      <c r="G1215" s="1277">
        <f t="shared" si="75"/>
        <v>3194443.7819397505</v>
      </c>
      <c r="H1215" s="1280">
        <f t="shared" si="76"/>
        <v>3194443.7819397505</v>
      </c>
      <c r="I1215" s="729">
        <f t="shared" si="73"/>
        <v>0</v>
      </c>
      <c r="J1215" s="729"/>
      <c r="K1215" s="881"/>
      <c r="L1215" s="735"/>
      <c r="M1215" s="881"/>
      <c r="N1215" s="735"/>
      <c r="O1215" s="735"/>
    </row>
    <row r="1216" spans="2:15">
      <c r="B1216" s="334"/>
      <c r="C1216" s="725">
        <f>IF(D1165="","-",+C1215+1)</f>
        <v>2063</v>
      </c>
      <c r="D1216" s="676">
        <f t="shared" si="74"/>
        <v>17850102.977401152</v>
      </c>
      <c r="E1216" s="1283">
        <f t="shared" si="77"/>
        <v>1203377.7288135593</v>
      </c>
      <c r="F1216" s="676">
        <f t="shared" si="72"/>
        <v>16646725.248587593</v>
      </c>
      <c r="G1216" s="1277">
        <f t="shared" si="75"/>
        <v>3064591.6480402164</v>
      </c>
      <c r="H1216" s="1280">
        <f t="shared" si="76"/>
        <v>3064591.6480402164</v>
      </c>
      <c r="I1216" s="729">
        <f t="shared" si="73"/>
        <v>0</v>
      </c>
      <c r="J1216" s="729"/>
      <c r="K1216" s="881"/>
      <c r="L1216" s="735"/>
      <c r="M1216" s="881"/>
      <c r="N1216" s="735"/>
      <c r="O1216" s="735"/>
    </row>
    <row r="1217" spans="2:15">
      <c r="B1217" s="334"/>
      <c r="C1217" s="725">
        <f>IF(D1165="","-",+C1216+1)</f>
        <v>2064</v>
      </c>
      <c r="D1217" s="676">
        <f t="shared" si="74"/>
        <v>16646725.248587593</v>
      </c>
      <c r="E1217" s="1283">
        <f t="shared" si="77"/>
        <v>1203377.7288135593</v>
      </c>
      <c r="F1217" s="676">
        <f t="shared" si="72"/>
        <v>15443347.519774035</v>
      </c>
      <c r="G1217" s="1277">
        <f t="shared" si="75"/>
        <v>2934739.5141406823</v>
      </c>
      <c r="H1217" s="1280">
        <f t="shared" si="76"/>
        <v>2934739.5141406823</v>
      </c>
      <c r="I1217" s="729">
        <f t="shared" si="73"/>
        <v>0</v>
      </c>
      <c r="J1217" s="729"/>
      <c r="K1217" s="881"/>
      <c r="L1217" s="735"/>
      <c r="M1217" s="881"/>
      <c r="N1217" s="735"/>
      <c r="O1217" s="735"/>
    </row>
    <row r="1218" spans="2:15">
      <c r="B1218" s="334"/>
      <c r="C1218" s="725">
        <f>IF(D1165="","-",+C1217+1)</f>
        <v>2065</v>
      </c>
      <c r="D1218" s="676">
        <f t="shared" si="74"/>
        <v>15443347.519774035</v>
      </c>
      <c r="E1218" s="1283">
        <f t="shared" si="77"/>
        <v>1203377.7288135593</v>
      </c>
      <c r="F1218" s="676">
        <f t="shared" si="72"/>
        <v>14239969.790960476</v>
      </c>
      <c r="G1218" s="1277">
        <f t="shared" si="75"/>
        <v>2804887.3802411482</v>
      </c>
      <c r="H1218" s="1280">
        <f t="shared" si="76"/>
        <v>2804887.3802411482</v>
      </c>
      <c r="I1218" s="729">
        <f t="shared" si="73"/>
        <v>0</v>
      </c>
      <c r="J1218" s="729"/>
      <c r="K1218" s="881"/>
      <c r="L1218" s="735"/>
      <c r="M1218" s="881"/>
      <c r="N1218" s="735"/>
      <c r="O1218" s="735"/>
    </row>
    <row r="1219" spans="2:15">
      <c r="B1219" s="334"/>
      <c r="C1219" s="725">
        <f>IF(D1165="","-",+C1218+1)</f>
        <v>2066</v>
      </c>
      <c r="D1219" s="676">
        <f t="shared" si="74"/>
        <v>14239969.790960476</v>
      </c>
      <c r="E1219" s="1283">
        <f t="shared" si="77"/>
        <v>1203377.7288135593</v>
      </c>
      <c r="F1219" s="676">
        <f t="shared" si="72"/>
        <v>13036592.062146917</v>
      </c>
      <c r="G1219" s="1277">
        <f t="shared" si="75"/>
        <v>2675035.2463416145</v>
      </c>
      <c r="H1219" s="1280">
        <f t="shared" si="76"/>
        <v>2675035.2463416145</v>
      </c>
      <c r="I1219" s="729">
        <f t="shared" si="73"/>
        <v>0</v>
      </c>
      <c r="J1219" s="729"/>
      <c r="K1219" s="881"/>
      <c r="L1219" s="735"/>
      <c r="M1219" s="881"/>
      <c r="N1219" s="735"/>
      <c r="O1219" s="735"/>
    </row>
    <row r="1220" spans="2:15">
      <c r="B1220" s="334"/>
      <c r="C1220" s="725">
        <f>IF(D1165="","-",+C1219+1)</f>
        <v>2067</v>
      </c>
      <c r="D1220" s="676">
        <f t="shared" si="74"/>
        <v>13036592.062146917</v>
      </c>
      <c r="E1220" s="1283">
        <f t="shared" si="77"/>
        <v>1203377.7288135593</v>
      </c>
      <c r="F1220" s="676">
        <f t="shared" si="72"/>
        <v>11833214.333333358</v>
      </c>
      <c r="G1220" s="1277">
        <f t="shared" si="75"/>
        <v>2545183.1124420804</v>
      </c>
      <c r="H1220" s="1280">
        <f t="shared" si="76"/>
        <v>2545183.1124420804</v>
      </c>
      <c r="I1220" s="729">
        <f t="shared" si="73"/>
        <v>0</v>
      </c>
      <c r="J1220" s="729"/>
      <c r="K1220" s="881"/>
      <c r="L1220" s="735"/>
      <c r="M1220" s="881"/>
      <c r="N1220" s="735"/>
      <c r="O1220" s="735"/>
    </row>
    <row r="1221" spans="2:15">
      <c r="B1221" s="334"/>
      <c r="C1221" s="725">
        <f>IF(D1165="","-",+C1220+1)</f>
        <v>2068</v>
      </c>
      <c r="D1221" s="676">
        <f t="shared" si="74"/>
        <v>11833214.333333358</v>
      </c>
      <c r="E1221" s="1283">
        <f t="shared" si="77"/>
        <v>1203377.7288135593</v>
      </c>
      <c r="F1221" s="676">
        <f t="shared" si="72"/>
        <v>10629836.604519799</v>
      </c>
      <c r="G1221" s="1277">
        <f t="shared" si="75"/>
        <v>2415330.9785425467</v>
      </c>
      <c r="H1221" s="1280">
        <f t="shared" si="76"/>
        <v>2415330.9785425467</v>
      </c>
      <c r="I1221" s="729">
        <f t="shared" si="73"/>
        <v>0</v>
      </c>
      <c r="J1221" s="729"/>
      <c r="K1221" s="881"/>
      <c r="L1221" s="735"/>
      <c r="M1221" s="881"/>
      <c r="N1221" s="735"/>
      <c r="O1221" s="735"/>
    </row>
    <row r="1222" spans="2:15">
      <c r="B1222" s="334"/>
      <c r="C1222" s="725">
        <f>IF(D1165="","-",+C1221+1)</f>
        <v>2069</v>
      </c>
      <c r="D1222" s="676">
        <f t="shared" si="74"/>
        <v>10629836.604519799</v>
      </c>
      <c r="E1222" s="1283">
        <f t="shared" si="77"/>
        <v>1203377.7288135593</v>
      </c>
      <c r="F1222" s="676">
        <f t="shared" si="72"/>
        <v>9426458.8757062405</v>
      </c>
      <c r="G1222" s="1277">
        <f t="shared" si="75"/>
        <v>2285478.8446430126</v>
      </c>
      <c r="H1222" s="1280">
        <f t="shared" si="76"/>
        <v>2285478.8446430126</v>
      </c>
      <c r="I1222" s="729">
        <f t="shared" si="73"/>
        <v>0</v>
      </c>
      <c r="J1222" s="729"/>
      <c r="K1222" s="881"/>
      <c r="L1222" s="735"/>
      <c r="M1222" s="881"/>
      <c r="N1222" s="735"/>
      <c r="O1222" s="735"/>
    </row>
    <row r="1223" spans="2:15">
      <c r="B1223" s="334"/>
      <c r="C1223" s="725">
        <f>IF(D1165="","-",+C1222+1)</f>
        <v>2070</v>
      </c>
      <c r="D1223" s="676">
        <f t="shared" si="74"/>
        <v>9426458.8757062405</v>
      </c>
      <c r="E1223" s="1283">
        <f t="shared" si="77"/>
        <v>1203377.7288135593</v>
      </c>
      <c r="F1223" s="676">
        <f t="shared" si="72"/>
        <v>8223081.1468926817</v>
      </c>
      <c r="G1223" s="1277">
        <f t="shared" si="75"/>
        <v>2155626.7107434785</v>
      </c>
      <c r="H1223" s="1280">
        <f t="shared" si="76"/>
        <v>2155626.7107434785</v>
      </c>
      <c r="I1223" s="729">
        <f t="shared" si="73"/>
        <v>0</v>
      </c>
      <c r="J1223" s="729"/>
      <c r="K1223" s="881"/>
      <c r="L1223" s="735"/>
      <c r="M1223" s="881"/>
      <c r="N1223" s="735"/>
      <c r="O1223" s="735"/>
    </row>
    <row r="1224" spans="2:15">
      <c r="B1224" s="334"/>
      <c r="C1224" s="725">
        <f>IF(D1165="","-",+C1223+1)</f>
        <v>2071</v>
      </c>
      <c r="D1224" s="676">
        <f t="shared" si="74"/>
        <v>8223081.1468926817</v>
      </c>
      <c r="E1224" s="1283">
        <f t="shared" si="77"/>
        <v>1203377.7288135593</v>
      </c>
      <c r="F1224" s="676">
        <f t="shared" si="72"/>
        <v>7019703.4180791229</v>
      </c>
      <c r="G1224" s="1277">
        <f t="shared" si="75"/>
        <v>2025774.5768439444</v>
      </c>
      <c r="H1224" s="1280">
        <f t="shared" si="76"/>
        <v>2025774.5768439444</v>
      </c>
      <c r="I1224" s="729">
        <f t="shared" si="73"/>
        <v>0</v>
      </c>
      <c r="J1224" s="729"/>
      <c r="K1224" s="881"/>
      <c r="L1224" s="735"/>
      <c r="M1224" s="881"/>
      <c r="N1224" s="735"/>
      <c r="O1224" s="735"/>
    </row>
    <row r="1225" spans="2:15">
      <c r="B1225" s="334"/>
      <c r="C1225" s="725">
        <f>IF(D1165="","-",+C1224+1)</f>
        <v>2072</v>
      </c>
      <c r="D1225" s="676">
        <f t="shared" si="74"/>
        <v>7019703.4180791229</v>
      </c>
      <c r="E1225" s="1283">
        <f t="shared" si="77"/>
        <v>1203377.7288135593</v>
      </c>
      <c r="F1225" s="676">
        <f t="shared" si="72"/>
        <v>5816325.6892655641</v>
      </c>
      <c r="G1225" s="1277">
        <f t="shared" si="75"/>
        <v>1895922.4429444105</v>
      </c>
      <c r="H1225" s="1280">
        <f t="shared" si="76"/>
        <v>1895922.4429444105</v>
      </c>
      <c r="I1225" s="729">
        <f t="shared" si="73"/>
        <v>0</v>
      </c>
      <c r="J1225" s="729"/>
      <c r="K1225" s="881"/>
      <c r="L1225" s="735"/>
      <c r="M1225" s="881"/>
      <c r="N1225" s="735"/>
      <c r="O1225" s="735"/>
    </row>
    <row r="1226" spans="2:15">
      <c r="B1226" s="334"/>
      <c r="C1226" s="725">
        <f>IF(D1165="","-",+C1225+1)</f>
        <v>2073</v>
      </c>
      <c r="D1226" s="676">
        <f t="shared" si="74"/>
        <v>5816325.6892655641</v>
      </c>
      <c r="E1226" s="1283">
        <f t="shared" si="77"/>
        <v>1203377.7288135593</v>
      </c>
      <c r="F1226" s="676">
        <f t="shared" si="72"/>
        <v>4612947.9604520053</v>
      </c>
      <c r="G1226" s="1277">
        <f t="shared" si="75"/>
        <v>1766070.3090448766</v>
      </c>
      <c r="H1226" s="1280">
        <f t="shared" si="76"/>
        <v>1766070.3090448766</v>
      </c>
      <c r="I1226" s="729">
        <f t="shared" si="73"/>
        <v>0</v>
      </c>
      <c r="J1226" s="729"/>
      <c r="K1226" s="881"/>
      <c r="L1226" s="735"/>
      <c r="M1226" s="881"/>
      <c r="N1226" s="735"/>
      <c r="O1226" s="735"/>
    </row>
    <row r="1227" spans="2:15">
      <c r="B1227" s="334"/>
      <c r="C1227" s="725">
        <f>IF(D1165="","-",+C1226+1)</f>
        <v>2074</v>
      </c>
      <c r="D1227" s="676">
        <f t="shared" si="74"/>
        <v>4612947.9604520053</v>
      </c>
      <c r="E1227" s="1283">
        <f t="shared" si="77"/>
        <v>1203377.7288135593</v>
      </c>
      <c r="F1227" s="676">
        <f t="shared" si="72"/>
        <v>3409570.231638446</v>
      </c>
      <c r="G1227" s="1277">
        <f t="shared" si="75"/>
        <v>1636218.1751453425</v>
      </c>
      <c r="H1227" s="1280">
        <f t="shared" si="76"/>
        <v>1636218.1751453425</v>
      </c>
      <c r="I1227" s="729">
        <f t="shared" si="73"/>
        <v>0</v>
      </c>
      <c r="J1227" s="729"/>
      <c r="K1227" s="881"/>
      <c r="L1227" s="735"/>
      <c r="M1227" s="881"/>
      <c r="N1227" s="735"/>
      <c r="O1227" s="735"/>
    </row>
    <row r="1228" spans="2:15">
      <c r="B1228" s="334"/>
      <c r="C1228" s="725">
        <f>IF(D1165="","-",+C1227+1)</f>
        <v>2075</v>
      </c>
      <c r="D1228" s="676">
        <f t="shared" si="74"/>
        <v>3409570.231638446</v>
      </c>
      <c r="E1228" s="1283">
        <f t="shared" si="77"/>
        <v>1203377.7288135593</v>
      </c>
      <c r="F1228" s="676">
        <f t="shared" si="72"/>
        <v>2206192.5028248867</v>
      </c>
      <c r="G1228" s="1277">
        <f t="shared" si="75"/>
        <v>1506366.0412458084</v>
      </c>
      <c r="H1228" s="1280">
        <f t="shared" si="76"/>
        <v>1506366.0412458084</v>
      </c>
      <c r="I1228" s="729">
        <f t="shared" si="73"/>
        <v>0</v>
      </c>
      <c r="J1228" s="729"/>
      <c r="K1228" s="881"/>
      <c r="L1228" s="735"/>
      <c r="M1228" s="881"/>
      <c r="N1228" s="735"/>
      <c r="O1228" s="735"/>
    </row>
    <row r="1229" spans="2:15">
      <c r="B1229" s="334"/>
      <c r="C1229" s="725">
        <f>IF(D1165="","-",+C1228+1)</f>
        <v>2076</v>
      </c>
      <c r="D1229" s="676">
        <f t="shared" si="74"/>
        <v>2206192.5028248867</v>
      </c>
      <c r="E1229" s="1283">
        <f t="shared" si="77"/>
        <v>1203377.7288135593</v>
      </c>
      <c r="F1229" s="676">
        <f t="shared" si="72"/>
        <v>1002814.7740113274</v>
      </c>
      <c r="G1229" s="1277">
        <f t="shared" si="75"/>
        <v>1376513.9073462745</v>
      </c>
      <c r="H1229" s="1280">
        <f t="shared" si="76"/>
        <v>1376513.9073462745</v>
      </c>
      <c r="I1229" s="729">
        <f t="shared" si="73"/>
        <v>0</v>
      </c>
      <c r="J1229" s="729"/>
      <c r="K1229" s="881"/>
      <c r="L1229" s="735"/>
      <c r="M1229" s="881"/>
      <c r="N1229" s="735"/>
      <c r="O1229" s="735"/>
    </row>
    <row r="1230" spans="2:15" ht="13.5" thickBot="1">
      <c r="B1230" s="334"/>
      <c r="C1230" s="737">
        <f>IF(D1165="","-",+C1229+1)</f>
        <v>2077</v>
      </c>
      <c r="D1230" s="738">
        <f t="shared" si="74"/>
        <v>1002814.7740113274</v>
      </c>
      <c r="E1230" s="1307">
        <f t="shared" si="77"/>
        <v>1002814.7740113274</v>
      </c>
      <c r="F1230" s="738">
        <f t="shared" si="72"/>
        <v>0</v>
      </c>
      <c r="G1230" s="1287">
        <f t="shared" si="75"/>
        <v>1056919.8298028014</v>
      </c>
      <c r="H1230" s="1287">
        <f t="shared" si="76"/>
        <v>1056919.8298028014</v>
      </c>
      <c r="I1230" s="741">
        <f t="shared" si="73"/>
        <v>0</v>
      </c>
      <c r="J1230" s="729"/>
      <c r="K1230" s="882"/>
      <c r="L1230" s="743"/>
      <c r="M1230" s="882"/>
      <c r="N1230" s="743"/>
      <c r="O1230" s="743"/>
    </row>
    <row r="1231" spans="2:15">
      <c r="B1231" s="334"/>
      <c r="C1231" s="676" t="s">
        <v>289</v>
      </c>
      <c r="D1231" s="1258"/>
      <c r="E1231" s="1258">
        <f>SUM(E1171:E1230)</f>
        <v>70999286.000000015</v>
      </c>
      <c r="F1231" s="1258"/>
      <c r="G1231" s="1258">
        <f>SUM(G1171:G1230)</f>
        <v>303391321.63553286</v>
      </c>
      <c r="H1231" s="1258">
        <f>SUM(H1171:H1230)</f>
        <v>303391321.63553286</v>
      </c>
      <c r="I1231" s="1258">
        <f>SUM(I1171:I1230)</f>
        <v>0</v>
      </c>
      <c r="J1231" s="1258"/>
      <c r="K1231" s="1258"/>
      <c r="L1231" s="1258"/>
      <c r="M1231" s="1258"/>
      <c r="N1231" s="1258"/>
      <c r="O1231" s="543"/>
    </row>
    <row r="1232" spans="2:15">
      <c r="B1232" s="334"/>
      <c r="D1232" s="566"/>
      <c r="E1232" s="543"/>
      <c r="F1232" s="543"/>
      <c r="G1232" s="543"/>
      <c r="H1232" s="1257"/>
      <c r="I1232" s="1257"/>
      <c r="J1232" s="1258"/>
      <c r="K1232" s="1257"/>
      <c r="L1232" s="1257"/>
      <c r="M1232" s="1257"/>
      <c r="N1232" s="1257"/>
      <c r="O1232" s="543"/>
    </row>
    <row r="1233" spans="2:15">
      <c r="B1233" s="334"/>
      <c r="C1233" s="543" t="s">
        <v>602</v>
      </c>
      <c r="D1233" s="566"/>
      <c r="E1233" s="543"/>
      <c r="F1233" s="543"/>
      <c r="G1233" s="543"/>
      <c r="H1233" s="1257"/>
      <c r="I1233" s="1257"/>
      <c r="J1233" s="1258"/>
      <c r="K1233" s="1257"/>
      <c r="L1233" s="1257"/>
      <c r="M1233" s="1257"/>
      <c r="N1233" s="1257"/>
      <c r="O1233" s="543"/>
    </row>
    <row r="1234" spans="2:15">
      <c r="B1234" s="334"/>
      <c r="D1234" s="566"/>
      <c r="E1234" s="543"/>
      <c r="F1234" s="543"/>
      <c r="G1234" s="543"/>
      <c r="H1234" s="1257"/>
      <c r="I1234" s="1257"/>
      <c r="J1234" s="1258"/>
      <c r="K1234" s="1257"/>
      <c r="L1234" s="1257"/>
      <c r="M1234" s="1257"/>
      <c r="N1234" s="1257"/>
      <c r="O1234" s="543"/>
    </row>
    <row r="1235" spans="2:15">
      <c r="B1235" s="334"/>
      <c r="C1235" s="579" t="s">
        <v>603</v>
      </c>
      <c r="D1235" s="676"/>
      <c r="E1235" s="676"/>
      <c r="F1235" s="676"/>
      <c r="G1235" s="1258"/>
      <c r="H1235" s="1258"/>
      <c r="I1235" s="677"/>
      <c r="J1235" s="677"/>
      <c r="K1235" s="677"/>
      <c r="L1235" s="677"/>
      <c r="M1235" s="677"/>
      <c r="N1235" s="677"/>
      <c r="O1235" s="543"/>
    </row>
    <row r="1236" spans="2:15">
      <c r="B1236" s="334"/>
      <c r="C1236" s="579" t="s">
        <v>477</v>
      </c>
      <c r="D1236" s="676"/>
      <c r="E1236" s="676"/>
      <c r="F1236" s="676"/>
      <c r="G1236" s="1258"/>
      <c r="H1236" s="1258"/>
      <c r="I1236" s="677"/>
      <c r="J1236" s="677"/>
      <c r="K1236" s="677"/>
      <c r="L1236" s="677"/>
      <c r="M1236" s="677"/>
      <c r="N1236" s="677"/>
      <c r="O1236" s="543"/>
    </row>
    <row r="1237" spans="2:15">
      <c r="B1237" s="334"/>
      <c r="C1237" s="579" t="s">
        <v>290</v>
      </c>
      <c r="D1237" s="676"/>
      <c r="E1237" s="676"/>
      <c r="F1237" s="676"/>
      <c r="G1237" s="1258"/>
      <c r="H1237" s="1258"/>
      <c r="I1237" s="677"/>
      <c r="J1237" s="677"/>
      <c r="K1237" s="677"/>
      <c r="L1237" s="677"/>
      <c r="M1237" s="677"/>
      <c r="N1237" s="677"/>
      <c r="O1237" s="543"/>
    </row>
    <row r="1238" spans="2:15">
      <c r="B1238" s="334"/>
      <c r="C1238" s="675"/>
      <c r="D1238" s="676"/>
      <c r="E1238" s="676"/>
      <c r="F1238" s="676"/>
      <c r="G1238" s="1258"/>
      <c r="H1238" s="1258"/>
      <c r="I1238" s="677"/>
      <c r="J1238" s="677"/>
      <c r="K1238" s="677"/>
      <c r="L1238" s="677"/>
      <c r="M1238" s="677"/>
      <c r="N1238" s="677"/>
      <c r="O1238" s="543"/>
    </row>
    <row r="1239" spans="2:15">
      <c r="B1239" s="334"/>
      <c r="C1239" s="1436" t="s">
        <v>461</v>
      </c>
      <c r="D1239" s="1436"/>
      <c r="E1239" s="1436"/>
      <c r="F1239" s="1436"/>
      <c r="G1239" s="1436"/>
      <c r="H1239" s="1436"/>
      <c r="I1239" s="1436"/>
      <c r="J1239" s="1436"/>
      <c r="K1239" s="1436"/>
      <c r="L1239" s="1436"/>
      <c r="M1239" s="1436"/>
      <c r="N1239" s="1436"/>
      <c r="O1239" s="1436"/>
    </row>
    <row r="1240" spans="2:15">
      <c r="B1240" s="334"/>
      <c r="C1240" s="1436"/>
      <c r="D1240" s="1436"/>
      <c r="E1240" s="1436"/>
      <c r="F1240" s="1436"/>
      <c r="G1240" s="1436"/>
      <c r="H1240" s="1436"/>
      <c r="I1240" s="1436"/>
      <c r="J1240" s="1436"/>
      <c r="K1240" s="1436"/>
      <c r="L1240" s="1436"/>
      <c r="M1240" s="1436"/>
      <c r="N1240" s="1436"/>
      <c r="O1240" s="1436"/>
    </row>
  </sheetData>
  <mergeCells count="45">
    <mergeCell ref="K22:O23"/>
    <mergeCell ref="A3:O3"/>
    <mergeCell ref="C11:H12"/>
    <mergeCell ref="A4:O4"/>
    <mergeCell ref="A5:O5"/>
    <mergeCell ref="A6:O6"/>
    <mergeCell ref="K363:O363"/>
    <mergeCell ref="C438:O439"/>
    <mergeCell ref="D448:H448"/>
    <mergeCell ref="K452:O452"/>
    <mergeCell ref="C527:O528"/>
    <mergeCell ref="C260:O261"/>
    <mergeCell ref="D270:G270"/>
    <mergeCell ref="K274:O274"/>
    <mergeCell ref="C349:O350"/>
    <mergeCell ref="D359:G359"/>
    <mergeCell ref="D91:G91"/>
    <mergeCell ref="K95:O95"/>
    <mergeCell ref="C170:O171"/>
    <mergeCell ref="D181:G181"/>
    <mergeCell ref="K185:O185"/>
    <mergeCell ref="D537:H537"/>
    <mergeCell ref="K541:O541"/>
    <mergeCell ref="C972:O973"/>
    <mergeCell ref="D626:H626"/>
    <mergeCell ref="K630:O630"/>
    <mergeCell ref="C705:O706"/>
    <mergeCell ref="D715:H715"/>
    <mergeCell ref="K719:O719"/>
    <mergeCell ref="C794:O795"/>
    <mergeCell ref="D804:H804"/>
    <mergeCell ref="K808:O808"/>
    <mergeCell ref="C883:O884"/>
    <mergeCell ref="D893:H893"/>
    <mergeCell ref="K897:O897"/>
    <mergeCell ref="C616:O617"/>
    <mergeCell ref="D1160:H1160"/>
    <mergeCell ref="K1164:O1164"/>
    <mergeCell ref="C1239:O1240"/>
    <mergeCell ref="D982:H982"/>
    <mergeCell ref="K986:O986"/>
    <mergeCell ref="C1061:O1062"/>
    <mergeCell ref="D1071:H1071"/>
    <mergeCell ref="K1075:O1075"/>
    <mergeCell ref="C1150:O1151"/>
  </mergeCells>
  <phoneticPr fontId="0" type="noConversion"/>
  <conditionalFormatting sqref="C102:C161">
    <cfRule type="cellIs" dxfId="39" priority="15" stopIfTrue="1" operator="equal">
      <formula>$I$93</formula>
    </cfRule>
  </conditionalFormatting>
  <conditionalFormatting sqref="C192:C251">
    <cfRule type="cellIs" dxfId="38" priority="14" stopIfTrue="1" operator="equal">
      <formula>$I$93</formula>
    </cfRule>
  </conditionalFormatting>
  <conditionalFormatting sqref="C281:C340">
    <cfRule type="cellIs" dxfId="37" priority="13" stopIfTrue="1" operator="equal">
      <formula>$I$93</formula>
    </cfRule>
  </conditionalFormatting>
  <conditionalFormatting sqref="C370:C429">
    <cfRule type="cellIs" dxfId="36" priority="12" stopIfTrue="1" operator="equal">
      <formula>$I$93</formula>
    </cfRule>
  </conditionalFormatting>
  <conditionalFormatting sqref="C459:C518">
    <cfRule type="cellIs" dxfId="35" priority="11" stopIfTrue="1" operator="equal">
      <formula>$I$93</formula>
    </cfRule>
  </conditionalFormatting>
  <conditionalFormatting sqref="C548:C607">
    <cfRule type="cellIs" dxfId="34" priority="10" stopIfTrue="1" operator="equal">
      <formula>$I$93</formula>
    </cfRule>
  </conditionalFormatting>
  <conditionalFormatting sqref="C637:C696">
    <cfRule type="cellIs" dxfId="33" priority="9" stopIfTrue="1" operator="equal">
      <formula>$I$93</formula>
    </cfRule>
  </conditionalFormatting>
  <conditionalFormatting sqref="C726:C785">
    <cfRule type="cellIs" dxfId="32" priority="8" stopIfTrue="1" operator="equal">
      <formula>$I$93</formula>
    </cfRule>
  </conditionalFormatting>
  <conditionalFormatting sqref="C815:C874">
    <cfRule type="cellIs" dxfId="31" priority="7" stopIfTrue="1" operator="equal">
      <formula>$I$93</formula>
    </cfRule>
  </conditionalFormatting>
  <conditionalFormatting sqref="C904:C963">
    <cfRule type="cellIs" dxfId="30" priority="6" stopIfTrue="1" operator="equal">
      <formula>$I$93</formula>
    </cfRule>
  </conditionalFormatting>
  <conditionalFormatting sqref="C993:C1052">
    <cfRule type="cellIs" dxfId="29" priority="5" stopIfTrue="1" operator="equal">
      <formula>$I$93</formula>
    </cfRule>
  </conditionalFormatting>
  <conditionalFormatting sqref="C1082:C1141">
    <cfRule type="cellIs" dxfId="28" priority="4" stopIfTrue="1" operator="equal">
      <formula>$I$93</formula>
    </cfRule>
  </conditionalFormatting>
  <conditionalFormatting sqref="C1173:C1230">
    <cfRule type="cellIs" dxfId="27" priority="3" stopIfTrue="1" operator="equal">
      <formula>$I$93</formula>
    </cfRule>
  </conditionalFormatting>
  <conditionalFormatting sqref="C1171">
    <cfRule type="cellIs" dxfId="26" priority="2" stopIfTrue="1" operator="equal">
      <formula>$I$93</formula>
    </cfRule>
  </conditionalFormatting>
  <conditionalFormatting sqref="C1172">
    <cfRule type="cellIs" dxfId="25" priority="1" stopIfTrue="1" operator="equal">
      <formula>$I$93</formula>
    </cfRule>
  </conditionalFormatting>
  <pageMargins left="0.26" right="1.28" top="1" bottom="0.5" header="0.75" footer="0.5"/>
  <pageSetup scale="38" fitToHeight="2" orientation="landscape" r:id="rId1"/>
  <headerFooter alignWithMargins="0">
    <oddHeader>&amp;R&amp;"Arial,Bold"Formula Rate 
&amp;A
Page &amp;P of &amp;N</oddHeader>
  </headerFooter>
  <rowBreaks count="13" manualBreakCount="13">
    <brk id="82" max="16383" man="1"/>
    <brk id="172" max="16383" man="1"/>
    <brk id="261" max="16383" man="1"/>
    <brk id="350" max="16383" man="1"/>
    <brk id="439" max="16383" man="1"/>
    <brk id="528" max="16383" man="1"/>
    <brk id="617" max="16383" man="1"/>
    <brk id="706" max="16383" man="1"/>
    <brk id="795" max="16383" man="1"/>
    <brk id="884" max="16383" man="1"/>
    <brk id="973" max="16383" man="1"/>
    <brk id="1062" max="16383" man="1"/>
    <brk id="115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287"/>
  <sheetViews>
    <sheetView view="pageBreakPreview" topLeftCell="A1210" zoomScale="85" zoomScaleNormal="100" zoomScaleSheetLayoutView="85" workbookViewId="0">
      <selection activeCell="D525" sqref="D525"/>
    </sheetView>
  </sheetViews>
  <sheetFormatPr defaultColWidth="8.85546875" defaultRowHeight="12.75"/>
  <cols>
    <col min="1" max="1" width="4.5703125" style="334" customWidth="1"/>
    <col min="2" max="2" width="6.5703125" style="415" customWidth="1"/>
    <col min="3" max="3" width="32.42578125" style="334" customWidth="1"/>
    <col min="4" max="4" width="17.5703125" style="426" customWidth="1"/>
    <col min="5" max="8" width="17.5703125" style="334" customWidth="1"/>
    <col min="9" max="9" width="17.5703125" style="592" customWidth="1"/>
    <col min="10" max="10" width="17.5703125" style="334" bestFit="1" customWidth="1"/>
    <col min="11" max="11" width="2.140625" style="318" customWidth="1"/>
    <col min="12" max="12" width="17.5703125" style="543" customWidth="1"/>
    <col min="13" max="13" width="31.85546875" style="543" customWidth="1"/>
    <col min="14" max="15" width="17.5703125" style="543" customWidth="1"/>
    <col min="16" max="16" width="16.5703125" style="543" customWidth="1"/>
    <col min="17" max="17" width="2.140625" style="543" customWidth="1"/>
    <col min="18" max="16384" width="8.85546875" style="334"/>
  </cols>
  <sheetData>
    <row r="1" spans="1:17" ht="15.75">
      <c r="A1" s="899" t="s">
        <v>115</v>
      </c>
    </row>
    <row r="2" spans="1:17" ht="15.75">
      <c r="A2" s="899" t="s">
        <v>115</v>
      </c>
    </row>
    <row r="3" spans="1:17" ht="15">
      <c r="A3" s="1420" t="s">
        <v>388</v>
      </c>
      <c r="B3" s="1420"/>
      <c r="C3" s="1420"/>
      <c r="D3" s="1420"/>
      <c r="E3" s="1420"/>
      <c r="F3" s="1420"/>
      <c r="G3" s="1420"/>
      <c r="H3" s="1420"/>
      <c r="I3" s="1420"/>
      <c r="J3" s="1420"/>
      <c r="K3" s="1420"/>
      <c r="L3" s="1420"/>
      <c r="M3" s="1420"/>
      <c r="N3" s="1420"/>
      <c r="O3" s="1420"/>
      <c r="P3" s="1420"/>
      <c r="Q3" s="591"/>
    </row>
    <row r="4" spans="1:17" ht="15">
      <c r="A4" s="1421" t="str">
        <f>"Cost of Service Formula Rate Using "&amp;TCOS!L4&amp;" FF1 Balances"</f>
        <v>Cost of Service Formula Rate Using 2018 FF1 Balances</v>
      </c>
      <c r="B4" s="1421"/>
      <c r="C4" s="1421"/>
      <c r="D4" s="1421"/>
      <c r="E4" s="1421"/>
      <c r="F4" s="1421"/>
      <c r="G4" s="1421"/>
      <c r="H4" s="1421"/>
      <c r="I4" s="1421"/>
      <c r="J4" s="1421"/>
      <c r="K4" s="1421"/>
      <c r="L4" s="1421"/>
      <c r="M4" s="1421"/>
      <c r="N4" s="1421"/>
      <c r="O4" s="1421"/>
      <c r="P4" s="1421"/>
      <c r="Q4" s="591"/>
    </row>
    <row r="5" spans="1:17" ht="15">
      <c r="A5" s="1421" t="s">
        <v>470</v>
      </c>
      <c r="B5" s="1421"/>
      <c r="C5" s="1421"/>
      <c r="D5" s="1421"/>
      <c r="E5" s="1421"/>
      <c r="F5" s="1421"/>
      <c r="G5" s="1421"/>
      <c r="H5" s="1421"/>
      <c r="I5" s="1421"/>
      <c r="J5" s="1421"/>
      <c r="K5" s="1421"/>
      <c r="L5" s="1421"/>
      <c r="M5" s="1421"/>
      <c r="N5" s="1421"/>
      <c r="O5" s="1421"/>
      <c r="P5" s="1421"/>
      <c r="Q5" s="591"/>
    </row>
    <row r="6" spans="1:17" ht="15">
      <c r="A6" s="1422" t="str">
        <f>TCOS!F9</f>
        <v>Appalachian Power Company</v>
      </c>
      <c r="B6" s="1422"/>
      <c r="C6" s="1422"/>
      <c r="D6" s="1422"/>
      <c r="E6" s="1422"/>
      <c r="F6" s="1422"/>
      <c r="G6" s="1422"/>
      <c r="H6" s="1422"/>
      <c r="I6" s="1422"/>
      <c r="J6" s="1422"/>
      <c r="K6" s="1422"/>
      <c r="L6" s="1422"/>
      <c r="M6" s="1422"/>
      <c r="N6" s="1422"/>
      <c r="O6" s="1422"/>
      <c r="P6" s="1422"/>
      <c r="Q6" s="591"/>
    </row>
    <row r="7" spans="1:17">
      <c r="Q7" s="591"/>
    </row>
    <row r="8" spans="1:17" ht="20.25">
      <c r="A8" s="593"/>
      <c r="C8" s="415"/>
      <c r="O8" s="594" t="str">
        <f>"Page "&amp;Q8&amp;" of "</f>
        <v xml:space="preserve">Page 1 of </v>
      </c>
      <c r="P8" s="595">
        <f>COUNT(Q$8:Q$58123)</f>
        <v>15</v>
      </c>
      <c r="Q8" s="596">
        <v>1</v>
      </c>
    </row>
    <row r="9" spans="1:17" ht="18">
      <c r="C9" s="597"/>
      <c r="Q9" s="591"/>
    </row>
    <row r="10" spans="1:17">
      <c r="Q10" s="591"/>
    </row>
    <row r="11" spans="1:17" ht="18">
      <c r="B11" s="598" t="s">
        <v>172</v>
      </c>
      <c r="C11" s="1443" t="str">
        <f>"Calculate Return and Income Taxes with "&amp;F17&amp;" basis point ROE increase for Projects Qualified for Regional Billing."</f>
        <v>Calculate Return and Income Taxes with 0 basis point ROE increase for Projects Qualified for Regional Billing.</v>
      </c>
      <c r="D11" s="1444"/>
      <c r="E11" s="1444"/>
      <c r="F11" s="1444"/>
      <c r="G11" s="1444"/>
      <c r="H11" s="1444"/>
      <c r="I11" s="1444"/>
      <c r="Q11" s="591"/>
    </row>
    <row r="12" spans="1:17" ht="18.75" customHeight="1">
      <c r="C12" s="1444"/>
      <c r="D12" s="1444"/>
      <c r="E12" s="1444"/>
      <c r="F12" s="1444"/>
      <c r="G12" s="1444"/>
      <c r="H12" s="1444"/>
      <c r="I12" s="1444"/>
      <c r="Q12" s="591"/>
    </row>
    <row r="13" spans="1:17" ht="15.75" customHeight="1">
      <c r="C13" s="530"/>
      <c r="D13" s="530"/>
      <c r="E13" s="530"/>
      <c r="F13" s="530"/>
      <c r="G13" s="530"/>
      <c r="H13" s="530"/>
      <c r="I13" s="530"/>
      <c r="Q13" s="591"/>
    </row>
    <row r="14" spans="1:17" ht="15.75">
      <c r="C14" s="599" t="str">
        <f>"A.   Determine 'R' with hypothetical "&amp;F17&amp;" basis point increase in ROE for Identified Projects"</f>
        <v>A.   Determine 'R' with hypothetical 0 basis point increase in ROE for Identified Projects</v>
      </c>
      <c r="D14" s="383"/>
      <c r="Q14" s="591"/>
    </row>
    <row r="15" spans="1:17">
      <c r="C15" s="372"/>
      <c r="D15" s="383"/>
      <c r="Q15" s="591"/>
    </row>
    <row r="16" spans="1:17">
      <c r="C16" s="600" t="str">
        <f>"   ROE w/o incentives  (TCOS, ln "&amp;TCOS!B257&amp;")"</f>
        <v xml:space="preserve">   ROE w/o incentives  (TCOS, ln 156)</v>
      </c>
      <c r="D16" s="383"/>
      <c r="E16" s="601"/>
      <c r="F16" s="744">
        <f>TCOS!J257</f>
        <v>0.10349999999999999</v>
      </c>
      <c r="G16" s="744"/>
      <c r="H16" s="601"/>
      <c r="I16" s="603"/>
      <c r="J16" s="603"/>
      <c r="K16" s="604"/>
      <c r="L16" s="603"/>
      <c r="M16" s="603"/>
      <c r="N16" s="603"/>
      <c r="O16" s="603"/>
      <c r="P16" s="603"/>
      <c r="Q16" s="604"/>
    </row>
    <row r="17" spans="3:17" ht="13.5" thickBot="1">
      <c r="C17" s="622" t="s">
        <v>253</v>
      </c>
      <c r="D17" s="383"/>
      <c r="E17" s="601"/>
      <c r="F17" s="872">
        <v>0</v>
      </c>
      <c r="G17" s="601"/>
      <c r="H17" s="601"/>
      <c r="I17" s="603"/>
      <c r="J17" s="603"/>
      <c r="K17" s="604"/>
      <c r="L17" s="603"/>
      <c r="M17" s="603"/>
      <c r="N17" s="603"/>
      <c r="O17" s="603"/>
      <c r="P17" s="603"/>
      <c r="Q17" s="604"/>
    </row>
    <row r="18" spans="3:17">
      <c r="C18" s="622" t="str">
        <f>"   ROE with additional "&amp;F17&amp;" basis point incentive"</f>
        <v xml:space="preserve">   ROE with additional 0 basis point incentive</v>
      </c>
      <c r="D18" s="601"/>
      <c r="E18" s="601"/>
      <c r="F18" s="606">
        <f>IF((F16+(F17/10000)&gt;0.125),"ERROR",F16+(F17/10000))</f>
        <v>0.10349999999999999</v>
      </c>
      <c r="G18" s="607"/>
      <c r="H18" s="601"/>
      <c r="I18" s="603"/>
      <c r="J18" s="603"/>
      <c r="K18" s="604"/>
      <c r="L18" s="745" t="s">
        <v>455</v>
      </c>
      <c r="M18" s="746"/>
      <c r="N18" s="746"/>
      <c r="O18" s="746"/>
      <c r="P18" s="747"/>
      <c r="Q18" s="604"/>
    </row>
    <row r="19" spans="3:17">
      <c r="C19" s="60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83"/>
      <c r="E19" s="601"/>
      <c r="F19" s="608"/>
      <c r="G19" s="608"/>
      <c r="H19" s="601"/>
      <c r="I19" s="603"/>
      <c r="J19" s="603"/>
      <c r="K19" s="604"/>
      <c r="L19" s="748"/>
      <c r="M19" s="604"/>
      <c r="N19" s="604" t="s">
        <v>255</v>
      </c>
      <c r="O19" s="604" t="s">
        <v>256</v>
      </c>
      <c r="P19" s="749" t="s">
        <v>257</v>
      </c>
      <c r="Q19" s="604"/>
    </row>
    <row r="20" spans="3:17">
      <c r="C20" s="604"/>
      <c r="D20" s="609" t="s">
        <v>147</v>
      </c>
      <c r="E20" s="609" t="s">
        <v>146</v>
      </c>
      <c r="F20" s="610" t="s">
        <v>254</v>
      </c>
      <c r="G20" s="610"/>
      <c r="H20" s="601"/>
      <c r="I20" s="603"/>
      <c r="J20" s="603"/>
      <c r="K20" s="604"/>
      <c r="L20" s="748" t="s">
        <v>453</v>
      </c>
      <c r="M20" s="750">
        <f>+TCOS!L4</f>
        <v>2018</v>
      </c>
      <c r="N20" s="591"/>
      <c r="O20" s="591"/>
      <c r="P20" s="751"/>
      <c r="Q20" s="604"/>
    </row>
    <row r="21" spans="3:17">
      <c r="C21" s="611" t="s">
        <v>258</v>
      </c>
      <c r="D21" s="752">
        <f>TCOS!H255</f>
        <v>0.5087358066140184</v>
      </c>
      <c r="E21" s="613">
        <f>TCOS!J255</f>
        <v>4.7516662567088024E-2</v>
      </c>
      <c r="F21" s="614">
        <f>E21*D21</f>
        <v>2.4173427658673662E-2</v>
      </c>
      <c r="G21" s="614"/>
      <c r="H21" s="601"/>
      <c r="I21" s="603"/>
      <c r="J21" s="615"/>
      <c r="K21" s="616"/>
      <c r="L21" s="753"/>
      <c r="M21" s="754" t="s">
        <v>454</v>
      </c>
      <c r="N21" s="883">
        <f>M90+M176+M262+M348+M434+M520+M606+M692+M778+M864+M950+M1036+M1122+M1209</f>
        <v>27570457</v>
      </c>
      <c r="O21" s="883">
        <f>N90+N176+N262+N348+N434+N520+N606+N692+N778+N864+N950+N1036+N1122+N1209</f>
        <v>27570457</v>
      </c>
      <c r="P21" s="755">
        <f>+O21-N21</f>
        <v>0</v>
      </c>
      <c r="Q21" s="616"/>
    </row>
    <row r="22" spans="3:17" ht="13.5" thickBot="1">
      <c r="C22" s="611" t="s">
        <v>259</v>
      </c>
      <c r="D22" s="752">
        <f>TCOS!H256</f>
        <v>0</v>
      </c>
      <c r="E22" s="613">
        <f>TCOS!J256</f>
        <v>0</v>
      </c>
      <c r="F22" s="614">
        <f>E22*D22</f>
        <v>0</v>
      </c>
      <c r="G22" s="614"/>
      <c r="H22" s="617"/>
      <c r="I22" s="617"/>
      <c r="J22" s="618"/>
      <c r="K22" s="619"/>
      <c r="L22" s="753"/>
      <c r="M22" s="754" t="s">
        <v>260</v>
      </c>
      <c r="N22" s="884">
        <f>M91+M177+M263+M349+M435+M521+M607+M693+M779+M865+M951+M1037+M1123+M1210</f>
        <v>21491172.967819393</v>
      </c>
      <c r="O22" s="884">
        <f>N91+N177+N263+N349+N435+N521+N607+N693+N779+N865+N951+N1037+N1123+N1210</f>
        <v>21491172.967819393</v>
      </c>
      <c r="P22" s="756">
        <f>+O22-N22</f>
        <v>0</v>
      </c>
      <c r="Q22" s="619"/>
    </row>
    <row r="23" spans="3:17">
      <c r="C23" s="620" t="s">
        <v>245</v>
      </c>
      <c r="D23" s="752">
        <f>TCOS!H257</f>
        <v>0.49126419338598154</v>
      </c>
      <c r="E23" s="613">
        <f>+F18</f>
        <v>0.10349999999999999</v>
      </c>
      <c r="F23" s="621">
        <f>E23*D23</f>
        <v>5.0845844015449088E-2</v>
      </c>
      <c r="G23" s="621"/>
      <c r="H23" s="617"/>
      <c r="I23" s="617"/>
      <c r="J23" s="618"/>
      <c r="K23" s="619"/>
      <c r="L23" s="753"/>
      <c r="M23" s="754" t="str">
        <f>"True-up of ARR For "&amp;TCOS!L4&amp;""</f>
        <v>True-up of ARR For 2018</v>
      </c>
      <c r="N23" s="676">
        <f>+N22-N21</f>
        <v>-6079284.0321806073</v>
      </c>
      <c r="O23" s="676">
        <f>+O22-O21</f>
        <v>-6079284.0321806073</v>
      </c>
      <c r="P23" s="757">
        <f>+P22-P21</f>
        <v>0</v>
      </c>
      <c r="Q23" s="619"/>
    </row>
    <row r="24" spans="3:17">
      <c r="C24" s="622"/>
      <c r="D24" s="334"/>
      <c r="E24" s="623" t="s">
        <v>261</v>
      </c>
      <c r="F24" s="614">
        <f>SUM(F21:F23)</f>
        <v>7.5019271674122756E-2</v>
      </c>
      <c r="G24" s="614"/>
      <c r="H24" s="617"/>
      <c r="I24" s="617"/>
      <c r="J24" s="618"/>
      <c r="K24" s="619"/>
      <c r="L24" s="753"/>
      <c r="M24" s="591"/>
      <c r="N24" s="591"/>
      <c r="O24" s="591"/>
      <c r="P24" s="751"/>
      <c r="Q24" s="619"/>
    </row>
    <row r="25" spans="3:17" ht="13.5" thickBot="1">
      <c r="C25" s="372"/>
      <c r="D25" s="628"/>
      <c r="E25" s="628"/>
      <c r="F25" s="617"/>
      <c r="G25" s="617"/>
      <c r="H25" s="617"/>
      <c r="I25" s="617"/>
      <c r="J25" s="617"/>
      <c r="K25" s="629"/>
      <c r="L25" s="758"/>
      <c r="M25" s="759"/>
      <c r="N25" s="760"/>
      <c r="O25" s="760"/>
      <c r="P25" s="756"/>
      <c r="Q25" s="629"/>
    </row>
    <row r="26" spans="3:17" ht="15.75">
      <c r="C26" s="599" t="str">
        <f>"B.   Determine Return using 'R' with hypothetical "&amp;F17&amp;" basis point ROE increase for Identified Projects."</f>
        <v>B.   Determine Return using 'R' with hypothetical 0 basis point ROE increase for Identified Projects.</v>
      </c>
      <c r="D26" s="628"/>
      <c r="E26" s="628"/>
      <c r="F26" s="633"/>
      <c r="G26" s="633"/>
      <c r="H26" s="617"/>
      <c r="I26" s="601"/>
      <c r="J26" s="617"/>
      <c r="K26" s="629"/>
      <c r="L26" s="617"/>
      <c r="M26" s="617"/>
      <c r="N26" s="617"/>
      <c r="O26" s="617"/>
      <c r="P26" s="617"/>
      <c r="Q26" s="629"/>
    </row>
    <row r="27" spans="3:17">
      <c r="C27" s="604"/>
      <c r="D27" s="628"/>
      <c r="E27" s="628"/>
      <c r="F27" s="629"/>
      <c r="G27" s="629"/>
      <c r="H27" s="629"/>
      <c r="I27" s="629"/>
      <c r="J27" s="629"/>
      <c r="K27" s="629"/>
      <c r="L27" s="629"/>
      <c r="M27" s="629"/>
      <c r="N27" s="629"/>
      <c r="O27" s="629"/>
      <c r="P27" s="629"/>
      <c r="Q27" s="629"/>
    </row>
    <row r="28" spans="3:17">
      <c r="C28" s="638" t="str">
        <f>"   Rate Base  (TCOS, ln "&amp;TCOS!B125&amp;")"</f>
        <v xml:space="preserve">   Rate Base  (TCOS, ln 68)</v>
      </c>
      <c r="D28" s="601"/>
      <c r="E28" s="639">
        <f>TCOS!L125</f>
        <v>1857636275.4989972</v>
      </c>
      <c r="F28" s="761"/>
      <c r="G28" s="761"/>
      <c r="H28" s="629"/>
      <c r="I28" s="629"/>
      <c r="J28" s="629"/>
      <c r="K28" s="629"/>
      <c r="L28" s="629"/>
      <c r="M28" s="629"/>
      <c r="N28" s="629"/>
      <c r="O28" s="629"/>
      <c r="P28" s="761"/>
      <c r="Q28" s="629"/>
    </row>
    <row r="29" spans="3:17">
      <c r="C29" s="604" t="s">
        <v>475</v>
      </c>
      <c r="D29" s="641"/>
      <c r="E29" s="614">
        <f>F24</f>
        <v>7.5019271674122756E-2</v>
      </c>
      <c r="F29" s="629"/>
      <c r="G29" s="629"/>
      <c r="H29" s="629"/>
      <c r="I29" s="629"/>
      <c r="J29" s="629"/>
      <c r="K29" s="629"/>
      <c r="L29" s="629"/>
      <c r="M29" s="629"/>
      <c r="N29" s="629"/>
      <c r="O29" s="629"/>
      <c r="P29" s="629"/>
      <c r="Q29" s="629"/>
    </row>
    <row r="30" spans="3:17">
      <c r="C30" s="642" t="s">
        <v>263</v>
      </c>
      <c r="D30" s="642"/>
      <c r="E30" s="618">
        <f>E28*E29</f>
        <v>139358520.42336482</v>
      </c>
      <c r="F30" s="629"/>
      <c r="G30" s="629"/>
      <c r="H30" s="629"/>
      <c r="I30" s="629"/>
      <c r="J30" s="619"/>
      <c r="K30" s="619"/>
      <c r="L30" s="619"/>
      <c r="M30" s="619"/>
      <c r="N30" s="619"/>
      <c r="O30" s="619"/>
      <c r="P30" s="629"/>
      <c r="Q30" s="619"/>
    </row>
    <row r="31" spans="3:17">
      <c r="C31" s="643"/>
      <c r="D31" s="603"/>
      <c r="E31" s="603"/>
      <c r="F31" s="629"/>
      <c r="G31" s="629"/>
      <c r="H31" s="629"/>
      <c r="I31" s="629"/>
      <c r="J31" s="619"/>
      <c r="K31" s="619"/>
      <c r="L31" s="619"/>
      <c r="M31" s="619"/>
      <c r="N31" s="619"/>
      <c r="O31" s="619"/>
      <c r="P31" s="629"/>
      <c r="Q31" s="619"/>
    </row>
    <row r="32" spans="3:17" ht="15.75">
      <c r="C32" s="599" t="str">
        <f>"C.   Determine Income Taxes using Return with hypothetical "&amp;F17&amp;" basis point ROE increase for Identified Projects."</f>
        <v>C.   Determine Income Taxes using Return with hypothetical 0 basis point ROE increase for Identified Projects.</v>
      </c>
      <c r="D32" s="644"/>
      <c r="E32" s="644"/>
      <c r="F32" s="645"/>
      <c r="G32" s="645"/>
      <c r="H32" s="645"/>
      <c r="I32" s="645"/>
      <c r="J32" s="646"/>
      <c r="K32" s="646"/>
      <c r="L32" s="646"/>
      <c r="M32" s="646"/>
      <c r="N32" s="646"/>
      <c r="O32" s="646"/>
      <c r="P32" s="645"/>
      <c r="Q32" s="646"/>
    </row>
    <row r="33" spans="2:17">
      <c r="C33" s="622"/>
      <c r="D33" s="603"/>
      <c r="E33" s="603"/>
      <c r="F33" s="629"/>
      <c r="G33" s="629"/>
      <c r="H33" s="629"/>
      <c r="I33" s="629"/>
      <c r="J33" s="619"/>
      <c r="K33" s="619"/>
      <c r="L33" s="619"/>
      <c r="M33" s="619"/>
      <c r="N33" s="619"/>
      <c r="O33" s="619"/>
      <c r="P33" s="629"/>
      <c r="Q33" s="619"/>
    </row>
    <row r="34" spans="2:17">
      <c r="C34" s="604" t="s">
        <v>264</v>
      </c>
      <c r="D34" s="623"/>
      <c r="E34" s="647">
        <f>E30</f>
        <v>139358520.42336482</v>
      </c>
      <c r="F34" s="629"/>
      <c r="G34" s="629"/>
      <c r="H34" s="629"/>
      <c r="I34" s="629"/>
      <c r="J34" s="629"/>
      <c r="K34" s="629"/>
      <c r="L34" s="629"/>
      <c r="M34" s="629"/>
      <c r="N34" s="629"/>
      <c r="O34" s="629"/>
      <c r="P34" s="629"/>
      <c r="Q34" s="629"/>
    </row>
    <row r="35" spans="2:17">
      <c r="C35" s="638" t="str">
        <f>"   Effective Tax Rate  (TCOS, ln "&amp;TCOS!B190&amp;")"</f>
        <v xml:space="preserve">   Effective Tax Rate  (TCOS, ln 114)</v>
      </c>
      <c r="D35" s="566"/>
      <c r="E35" s="648">
        <f>TCOS!G190</f>
        <v>0.21359294988851044</v>
      </c>
      <c r="F35" s="543"/>
      <c r="G35" s="543"/>
      <c r="H35" s="543"/>
      <c r="I35" s="649"/>
      <c r="J35" s="543"/>
      <c r="K35" s="591"/>
      <c r="Q35" s="591"/>
    </row>
    <row r="36" spans="2:17">
      <c r="C36" s="643" t="s">
        <v>265</v>
      </c>
      <c r="D36" s="566"/>
      <c r="E36" s="650">
        <f>E34*E35</f>
        <v>29765997.469324719</v>
      </c>
      <c r="F36" s="543"/>
      <c r="G36" s="543"/>
      <c r="H36" s="543"/>
      <c r="I36" s="649"/>
      <c r="J36" s="543"/>
      <c r="K36" s="591"/>
      <c r="Q36" s="591"/>
    </row>
    <row r="37" spans="2:17" ht="15">
      <c r="C37" s="622" t="s">
        <v>303</v>
      </c>
      <c r="D37" s="476"/>
      <c r="E37" s="651">
        <f>TCOS!L199</f>
        <v>0</v>
      </c>
      <c r="F37" s="476"/>
      <c r="G37" s="476"/>
      <c r="H37" s="476"/>
      <c r="I37" s="476"/>
      <c r="J37" s="476"/>
      <c r="K37" s="476"/>
      <c r="L37" s="476"/>
      <c r="M37" s="476"/>
      <c r="N37" s="476"/>
      <c r="O37" s="476"/>
      <c r="P37" s="392"/>
      <c r="Q37" s="476"/>
    </row>
    <row r="38" spans="2:17" ht="15">
      <c r="C38" s="622" t="s">
        <v>533</v>
      </c>
      <c r="D38" s="476"/>
      <c r="E38" s="651">
        <f>TCOS!L200</f>
        <v>-3514150.2548084827</v>
      </c>
      <c r="F38" s="476"/>
      <c r="G38" s="476"/>
      <c r="H38" s="476"/>
      <c r="I38" s="476"/>
      <c r="J38" s="476"/>
      <c r="K38" s="476"/>
      <c r="L38" s="476"/>
      <c r="M38" s="476"/>
      <c r="N38" s="476"/>
      <c r="O38" s="476"/>
      <c r="P38" s="392"/>
      <c r="Q38" s="476"/>
    </row>
    <row r="39" spans="2:17" ht="15">
      <c r="C39" s="622" t="s">
        <v>534</v>
      </c>
      <c r="D39" s="476"/>
      <c r="E39" s="652">
        <f>TCOS!L201</f>
        <v>1869403.9125431529</v>
      </c>
      <c r="F39" s="476"/>
      <c r="G39" s="476"/>
      <c r="H39" s="476"/>
      <c r="I39" s="476"/>
      <c r="J39" s="476"/>
      <c r="K39" s="476"/>
      <c r="L39" s="476"/>
      <c r="M39" s="476"/>
      <c r="N39" s="476"/>
      <c r="O39" s="476"/>
      <c r="P39" s="392"/>
      <c r="Q39" s="476"/>
    </row>
    <row r="40" spans="2:17" ht="15">
      <c r="C40" s="643" t="s">
        <v>266</v>
      </c>
      <c r="D40" s="476"/>
      <c r="E40" s="651">
        <f>E36+E37+E38+E39</f>
        <v>28121251.127059389</v>
      </c>
      <c r="F40" s="476"/>
      <c r="G40" s="476"/>
      <c r="H40" s="476"/>
      <c r="I40" s="476"/>
      <c r="J40" s="476"/>
      <c r="K40" s="476"/>
      <c r="L40" s="476"/>
      <c r="M40" s="476"/>
      <c r="N40" s="476"/>
      <c r="O40" s="476"/>
      <c r="P40" s="350"/>
      <c r="Q40" s="476"/>
    </row>
    <row r="41" spans="2:17" ht="12.75" customHeight="1">
      <c r="C41" s="400"/>
      <c r="D41" s="476"/>
      <c r="E41" s="476"/>
      <c r="F41" s="476"/>
      <c r="G41" s="476"/>
      <c r="H41" s="476"/>
      <c r="I41" s="476"/>
      <c r="J41" s="476"/>
      <c r="K41" s="476"/>
      <c r="L41" s="476"/>
      <c r="M41" s="476"/>
      <c r="N41" s="476"/>
      <c r="O41" s="476"/>
      <c r="P41" s="350"/>
      <c r="Q41" s="476"/>
    </row>
    <row r="42" spans="2:17" ht="18.75">
      <c r="B42" s="598" t="s">
        <v>173</v>
      </c>
      <c r="C42" s="597" t="str">
        <f>"Calculate Net Plant Carrying Charge Rate (Fixed Charge Rate or FCR) with hypothetical "&amp;F17&amp;""</f>
        <v>Calculate Net Plant Carrying Charge Rate (Fixed Charge Rate or FCR) with hypothetical 0</v>
      </c>
      <c r="D42" s="476"/>
      <c r="E42" s="476"/>
      <c r="F42" s="476"/>
      <c r="G42" s="476"/>
      <c r="H42" s="476"/>
      <c r="I42" s="476"/>
      <c r="J42" s="476"/>
      <c r="K42" s="476"/>
      <c r="L42" s="476"/>
      <c r="M42" s="476"/>
      <c r="N42" s="476"/>
      <c r="O42" s="476"/>
      <c r="P42" s="350"/>
      <c r="Q42" s="476"/>
    </row>
    <row r="43" spans="2:17" ht="18.75" customHeight="1">
      <c r="C43" s="597" t="str">
        <f>"basis point ROE increase."</f>
        <v>basis point ROE increase.</v>
      </c>
      <c r="D43" s="476"/>
      <c r="E43" s="476"/>
      <c r="F43" s="476"/>
      <c r="G43" s="476"/>
      <c r="H43" s="476"/>
      <c r="I43" s="476"/>
      <c r="J43" s="476"/>
      <c r="K43" s="476"/>
      <c r="L43" s="476"/>
      <c r="M43" s="476"/>
      <c r="N43" s="476"/>
      <c r="O43" s="476"/>
      <c r="P43" s="350"/>
      <c r="Q43" s="476"/>
    </row>
    <row r="44" spans="2:17" ht="12.75" customHeight="1">
      <c r="C44" s="597"/>
      <c r="D44" s="476"/>
      <c r="E44" s="476"/>
      <c r="F44" s="476"/>
      <c r="G44" s="476"/>
      <c r="H44" s="476"/>
      <c r="I44" s="476"/>
      <c r="J44" s="476"/>
      <c r="K44" s="476"/>
      <c r="L44" s="476"/>
      <c r="M44" s="476"/>
      <c r="N44" s="476"/>
      <c r="O44" s="476"/>
      <c r="P44" s="350"/>
      <c r="Q44" s="476"/>
    </row>
    <row r="45" spans="2:17" ht="15.75">
      <c r="C45" s="599" t="s">
        <v>466</v>
      </c>
      <c r="D45" s="476"/>
      <c r="E45" s="476"/>
      <c r="F45" s="475"/>
      <c r="G45" s="475"/>
      <c r="H45" s="476"/>
      <c r="I45" s="476"/>
      <c r="J45" s="476"/>
      <c r="K45" s="476"/>
      <c r="L45" s="476"/>
      <c r="M45" s="476"/>
      <c r="N45" s="476"/>
      <c r="O45" s="476"/>
      <c r="P45" s="350"/>
      <c r="Q45" s="476"/>
    </row>
    <row r="46" spans="2:17">
      <c r="B46" s="579"/>
      <c r="C46" s="600"/>
      <c r="D46" s="653"/>
      <c r="E46" s="653"/>
      <c r="F46" s="653"/>
      <c r="G46" s="653"/>
      <c r="H46" s="653"/>
      <c r="I46" s="653"/>
      <c r="J46" s="653"/>
      <c r="K46" s="653"/>
      <c r="L46" s="653"/>
      <c r="M46" s="653"/>
      <c r="N46" s="653"/>
      <c r="O46" s="653"/>
      <c r="P46" s="651"/>
      <c r="Q46" s="653"/>
    </row>
    <row r="47" spans="2:17" ht="12.75" customHeight="1">
      <c r="B47" s="579"/>
      <c r="C47" s="638" t="str">
        <f>"   Annual Revenue Requirement  (TCOS, ln "&amp;TCOS!B13&amp;")"</f>
        <v xml:space="preserve">   Annual Revenue Requirement  (TCOS, ln 1)</v>
      </c>
      <c r="D47" s="653"/>
      <c r="E47" s="653"/>
      <c r="F47" s="651">
        <f>TCOS!L13</f>
        <v>302222946.08830595</v>
      </c>
      <c r="G47" s="651"/>
      <c r="H47" s="762" t="s">
        <v>115</v>
      </c>
      <c r="I47" s="653"/>
      <c r="J47" s="653"/>
      <c r="K47" s="653"/>
      <c r="L47" s="653"/>
      <c r="M47" s="653"/>
      <c r="N47" s="653"/>
      <c r="O47" s="653"/>
      <c r="P47" s="651"/>
      <c r="Q47" s="653"/>
    </row>
    <row r="48" spans="2:17" ht="12.75" customHeight="1">
      <c r="B48" s="579"/>
      <c r="C48" s="638" t="str">
        <f>"   Lease Payments (TCOS, Ln "&amp;TCOS!B168&amp;")"</f>
        <v xml:space="preserve">   Lease Payments (TCOS, Ln 95)</v>
      </c>
      <c r="D48" s="653"/>
      <c r="E48" s="653"/>
      <c r="F48" s="651">
        <f>TCOS!L168</f>
        <v>0</v>
      </c>
      <c r="G48" s="651"/>
      <c r="H48" s="762"/>
      <c r="I48" s="653"/>
      <c r="J48" s="653"/>
      <c r="K48" s="653"/>
      <c r="L48" s="653"/>
      <c r="M48" s="653"/>
      <c r="N48" s="653"/>
      <c r="O48" s="653"/>
      <c r="P48" s="651"/>
      <c r="Q48" s="653"/>
    </row>
    <row r="49" spans="2:17">
      <c r="B49" s="579"/>
      <c r="C49" s="638" t="str">
        <f>"   Return  (TCOS, ln "&amp;TCOS!B205&amp;")"</f>
        <v xml:space="preserve">   Return  (TCOS, ln 126)</v>
      </c>
      <c r="D49" s="653"/>
      <c r="E49" s="653"/>
      <c r="F49" s="654">
        <f>TCOS!L205</f>
        <v>139358520.42336482</v>
      </c>
      <c r="G49" s="654"/>
      <c r="H49" s="655"/>
      <c r="I49" s="655"/>
      <c r="J49" s="655"/>
      <c r="K49" s="655"/>
      <c r="L49" s="655"/>
      <c r="M49" s="655"/>
      <c r="N49" s="655"/>
      <c r="O49" s="655"/>
      <c r="P49" s="651"/>
      <c r="Q49" s="655"/>
    </row>
    <row r="50" spans="2:17">
      <c r="B50" s="579"/>
      <c r="C50" s="638" t="str">
        <f>"   Income Taxes  (TCOS, ln "&amp;TCOS!B203&amp;")"</f>
        <v xml:space="preserve">   Income Taxes  (TCOS, ln 125)</v>
      </c>
      <c r="D50" s="653"/>
      <c r="E50" s="653"/>
      <c r="F50" s="656">
        <f>TCOS!L203</f>
        <v>28121251.127059389</v>
      </c>
      <c r="G50" s="656"/>
      <c r="H50" s="653"/>
      <c r="I50" s="653"/>
      <c r="J50" s="657"/>
      <c r="K50" s="657"/>
      <c r="L50" s="657"/>
      <c r="M50" s="657"/>
      <c r="N50" s="657"/>
      <c r="O50" s="657"/>
      <c r="P50" s="653"/>
      <c r="Q50" s="657"/>
    </row>
    <row r="51" spans="2:17">
      <c r="B51" s="579"/>
      <c r="C51" s="1446" t="s">
        <v>591</v>
      </c>
      <c r="D51" s="1444"/>
      <c r="E51" s="653"/>
      <c r="F51" s="654">
        <f>F47-F49-F50-F48</f>
        <v>134743174.53788173</v>
      </c>
      <c r="G51" s="654"/>
      <c r="H51" s="659"/>
      <c r="I51" s="653"/>
      <c r="J51" s="659"/>
      <c r="K51" s="659"/>
      <c r="L51" s="659"/>
      <c r="M51" s="659"/>
      <c r="N51" s="659"/>
      <c r="O51" s="659"/>
      <c r="P51" s="659"/>
      <c r="Q51" s="659"/>
    </row>
    <row r="52" spans="2:17">
      <c r="B52" s="579"/>
      <c r="C52" s="1444"/>
      <c r="D52" s="1444"/>
      <c r="E52" s="653"/>
      <c r="F52" s="651"/>
      <c r="G52" s="651"/>
      <c r="H52" s="660"/>
      <c r="I52" s="661"/>
      <c r="J52" s="661"/>
      <c r="K52" s="661"/>
      <c r="L52" s="661"/>
      <c r="M52" s="661"/>
      <c r="N52" s="661"/>
      <c r="O52" s="661"/>
      <c r="P52" s="661"/>
      <c r="Q52" s="661"/>
    </row>
    <row r="53" spans="2:17" ht="15.75">
      <c r="B53" s="579"/>
      <c r="C53" s="599" t="str">
        <f>"B.   Determine Annual Revenue Requirement with hypothetical "&amp;F17&amp;" basis point increase in ROE."</f>
        <v>B.   Determine Annual Revenue Requirement with hypothetical 0 basis point increase in ROE.</v>
      </c>
      <c r="D53" s="662"/>
      <c r="E53" s="662"/>
      <c r="F53" s="651"/>
      <c r="G53" s="651"/>
      <c r="H53" s="660"/>
      <c r="I53" s="661"/>
      <c r="J53" s="661"/>
      <c r="K53" s="661"/>
      <c r="L53" s="661"/>
      <c r="M53" s="661"/>
      <c r="N53" s="661"/>
      <c r="O53" s="661"/>
      <c r="P53" s="661"/>
      <c r="Q53" s="661"/>
    </row>
    <row r="54" spans="2:17">
      <c r="B54" s="579"/>
      <c r="C54" s="600"/>
      <c r="D54" s="662"/>
      <c r="E54" s="662"/>
      <c r="F54" s="651"/>
      <c r="G54" s="651"/>
      <c r="H54" s="660"/>
      <c r="I54" s="661"/>
      <c r="J54" s="661"/>
      <c r="K54" s="661"/>
      <c r="L54" s="661"/>
      <c r="M54" s="661"/>
      <c r="N54" s="661"/>
      <c r="O54" s="661"/>
      <c r="P54" s="661"/>
      <c r="Q54" s="661"/>
    </row>
    <row r="55" spans="2:17">
      <c r="B55" s="579"/>
      <c r="C55" s="600" t="str">
        <f>C51</f>
        <v xml:space="preserve">   Annual Revenue Requirement, Less Lease Payments, Return and Taxes</v>
      </c>
      <c r="D55" s="662"/>
      <c r="E55" s="662"/>
      <c r="F55" s="651">
        <f>F51</f>
        <v>134743174.53788173</v>
      </c>
      <c r="G55" s="651"/>
      <c r="H55" s="653"/>
      <c r="I55" s="653"/>
      <c r="J55" s="653"/>
      <c r="K55" s="653"/>
      <c r="L55" s="653"/>
      <c r="M55" s="653"/>
      <c r="N55" s="653"/>
      <c r="O55" s="653"/>
      <c r="P55" s="663"/>
      <c r="Q55" s="653"/>
    </row>
    <row r="56" spans="2:17">
      <c r="B56" s="579"/>
      <c r="C56" s="604" t="s">
        <v>300</v>
      </c>
      <c r="D56" s="664"/>
      <c r="E56" s="658"/>
      <c r="F56" s="665">
        <f>E30</f>
        <v>139358520.42336482</v>
      </c>
      <c r="G56" s="665"/>
      <c r="H56" s="658"/>
      <c r="I56" s="666"/>
      <c r="J56" s="658"/>
      <c r="K56" s="658"/>
      <c r="L56" s="658"/>
      <c r="M56" s="658"/>
      <c r="N56" s="658"/>
      <c r="O56" s="658"/>
      <c r="P56" s="658"/>
      <c r="Q56" s="658"/>
    </row>
    <row r="57" spans="2:17" ht="12.75" customHeight="1">
      <c r="B57" s="579"/>
      <c r="C57" s="622" t="s">
        <v>267</v>
      </c>
      <c r="D57" s="653"/>
      <c r="E57" s="653"/>
      <c r="F57" s="656">
        <f>E40</f>
        <v>28121251.127059389</v>
      </c>
      <c r="G57" s="656"/>
      <c r="H57" s="543"/>
      <c r="I57" s="649"/>
      <c r="J57" s="543"/>
      <c r="K57" s="591"/>
      <c r="Q57" s="591"/>
    </row>
    <row r="58" spans="2:17">
      <c r="B58" s="579"/>
      <c r="C58" s="658" t="str">
        <f>"   Annual Revenue Requirement, with "&amp;F17&amp;" Basis Point ROE increase"</f>
        <v xml:space="preserve">   Annual Revenue Requirement, with 0 Basis Point ROE increase</v>
      </c>
      <c r="D58" s="566"/>
      <c r="E58" s="543"/>
      <c r="F58" s="650">
        <f>SUM(F55:F57)</f>
        <v>302222946.08830595</v>
      </c>
      <c r="G58" s="650"/>
      <c r="H58" s="543"/>
      <c r="I58" s="649"/>
      <c r="J58" s="543"/>
      <c r="K58" s="591"/>
      <c r="Q58" s="591"/>
    </row>
    <row r="59" spans="2:17">
      <c r="B59" s="579"/>
      <c r="C59" s="638" t="str">
        <f>"   Depreciation  (TCOS, ln "&amp;TCOS!B174&amp;")"</f>
        <v xml:space="preserve">   Depreciation  (TCOS, ln 100)</v>
      </c>
      <c r="D59" s="566"/>
      <c r="E59" s="543"/>
      <c r="F59" s="667">
        <f>TCOS!L174</f>
        <v>51211348.706752636</v>
      </c>
      <c r="G59" s="667"/>
      <c r="H59" s="650"/>
      <c r="I59" s="649"/>
      <c r="J59" s="543"/>
      <c r="K59" s="591"/>
      <c r="Q59" s="591"/>
    </row>
    <row r="60" spans="2:17">
      <c r="B60" s="579"/>
      <c r="C60" s="1446" t="str">
        <f>"   Annual Rev. Req, w/ "&amp;F17&amp;" Basis Point ROE increase, less Depreciation"</f>
        <v xml:space="preserve">   Annual Rev. Req, w/ 0 Basis Point ROE increase, less Depreciation</v>
      </c>
      <c r="D60" s="1444"/>
      <c r="E60" s="543"/>
      <c r="F60" s="650">
        <f>F58-F59</f>
        <v>251011597.38155332</v>
      </c>
      <c r="G60" s="650"/>
      <c r="H60" s="543"/>
      <c r="I60" s="649"/>
      <c r="J60" s="543"/>
      <c r="K60" s="591"/>
      <c r="Q60" s="591"/>
    </row>
    <row r="61" spans="2:17">
      <c r="B61" s="579"/>
      <c r="C61" s="1444"/>
      <c r="D61" s="1444"/>
      <c r="E61" s="543"/>
      <c r="F61" s="543"/>
      <c r="G61" s="543"/>
      <c r="H61" s="543"/>
      <c r="I61" s="649"/>
      <c r="J61" s="543"/>
      <c r="K61" s="591"/>
      <c r="Q61" s="591"/>
    </row>
    <row r="62" spans="2:17" ht="15.75">
      <c r="B62" s="579"/>
      <c r="C62" s="599" t="str">
        <f>"C.   Determine FCR with hypothetical "&amp;F17&amp;" basis point ROE increase."</f>
        <v>C.   Determine FCR with hypothetical 0 basis point ROE increase.</v>
      </c>
      <c r="D62" s="566"/>
      <c r="E62" s="543"/>
      <c r="F62" s="543"/>
      <c r="G62" s="543"/>
      <c r="H62" s="543"/>
      <c r="I62" s="649"/>
      <c r="J62" s="543"/>
      <c r="K62" s="591"/>
      <c r="Q62" s="591"/>
    </row>
    <row r="63" spans="2:17">
      <c r="B63" s="579"/>
      <c r="C63" s="543"/>
      <c r="D63" s="566"/>
      <c r="E63" s="543"/>
      <c r="F63" s="543"/>
      <c r="G63" s="543"/>
      <c r="H63" s="543"/>
      <c r="I63" s="649"/>
      <c r="J63" s="543"/>
      <c r="K63" s="591"/>
      <c r="Q63" s="591"/>
    </row>
    <row r="64" spans="2:17">
      <c r="B64" s="579"/>
      <c r="C64" s="638" t="str">
        <f>"   Net Transmission Plant  (TCOS, ln "&amp;TCOS!B91&amp;")"</f>
        <v xml:space="preserve">   Net Transmission Plant  (TCOS, ln 42)</v>
      </c>
      <c r="D64" s="566"/>
      <c r="E64" s="543"/>
      <c r="F64" s="650">
        <f>TCOS!L91</f>
        <v>2326197936.7746153</v>
      </c>
      <c r="G64" s="650"/>
      <c r="H64" s="650"/>
      <c r="I64" s="668"/>
      <c r="J64" s="543"/>
      <c r="K64" s="591"/>
      <c r="Q64" s="591"/>
    </row>
    <row r="65" spans="2:17">
      <c r="B65" s="579"/>
      <c r="C65" s="658" t="str">
        <f>"   Annual Revenue Requirement, with "&amp;F17&amp;" Basis Point ROE increase"</f>
        <v xml:space="preserve">   Annual Revenue Requirement, with 0 Basis Point ROE increase</v>
      </c>
      <c r="D65" s="566"/>
      <c r="E65" s="543"/>
      <c r="F65" s="650">
        <f>F58</f>
        <v>302222946.08830595</v>
      </c>
      <c r="G65" s="650"/>
      <c r="H65" s="543"/>
      <c r="I65" s="649"/>
      <c r="J65" s="543"/>
      <c r="K65" s="591"/>
      <c r="Q65" s="591"/>
    </row>
    <row r="66" spans="2:17">
      <c r="B66" s="579"/>
      <c r="C66" s="658" t="str">
        <f>"   FCR with "&amp;F17&amp;" Basis Point increase in ROE"</f>
        <v xml:space="preserve">   FCR with 0 Basis Point increase in ROE</v>
      </c>
      <c r="D66" s="566"/>
      <c r="E66" s="543"/>
      <c r="F66" s="648">
        <f>F65/F64</f>
        <v>0.1299214229840443</v>
      </c>
      <c r="G66" s="648"/>
      <c r="H66" s="648"/>
      <c r="I66" s="649"/>
      <c r="J66" s="543"/>
      <c r="K66" s="591"/>
      <c r="Q66" s="591"/>
    </row>
    <row r="67" spans="2:17">
      <c r="B67" s="579"/>
      <c r="C67" s="372"/>
      <c r="D67" s="566"/>
      <c r="E67" s="543"/>
      <c r="F67" s="579"/>
      <c r="G67" s="579"/>
      <c r="H67" s="543"/>
      <c r="I67" s="649"/>
      <c r="J67" s="543"/>
      <c r="K67" s="591"/>
      <c r="Q67" s="591"/>
    </row>
    <row r="68" spans="2:17">
      <c r="B68" s="579"/>
      <c r="C68" s="658" t="str">
        <f>"   Annual Rev. Req, w / "&amp;F17&amp;" Basis Point ROE increase, less Dep."</f>
        <v xml:space="preserve">   Annual Rev. Req, w / 0 Basis Point ROE increase, less Dep.</v>
      </c>
      <c r="D68" s="566"/>
      <c r="E68" s="543"/>
      <c r="F68" s="650">
        <f>F60</f>
        <v>251011597.38155332</v>
      </c>
      <c r="G68" s="650"/>
      <c r="H68" s="543"/>
      <c r="I68" s="649"/>
      <c r="J68" s="543"/>
      <c r="K68" s="591"/>
      <c r="Q68" s="591"/>
    </row>
    <row r="69" spans="2:17">
      <c r="B69" s="579"/>
      <c r="C69" s="658" t="str">
        <f>"   FCR with "&amp;F17&amp;" Basis Point ROE increase, less Depreciation"</f>
        <v xml:space="preserve">   FCR with 0 Basis Point ROE increase, less Depreciation</v>
      </c>
      <c r="D69" s="566"/>
      <c r="E69" s="543"/>
      <c r="F69" s="648">
        <f>F68/F64</f>
        <v>0.10790637951024619</v>
      </c>
      <c r="G69" s="648"/>
      <c r="H69" s="543"/>
      <c r="I69" s="649"/>
      <c r="J69" s="543"/>
      <c r="K69" s="591"/>
      <c r="Q69" s="591"/>
    </row>
    <row r="70" spans="2:17">
      <c r="B70" s="579"/>
      <c r="C70" s="638" t="str">
        <f>"   FCR less Depreciation  (TCOS, ln "&amp;TCOS!B34&amp;")"</f>
        <v xml:space="preserve">   FCR less Depreciation  (TCOS, ln 10)</v>
      </c>
      <c r="D70" s="566"/>
      <c r="E70" s="543"/>
      <c r="F70" s="669">
        <f>TCOS!L34</f>
        <v>0.10790637951024619</v>
      </c>
      <c r="G70" s="669"/>
      <c r="H70" s="543"/>
      <c r="I70" s="649"/>
      <c r="J70" s="543"/>
      <c r="K70" s="591"/>
      <c r="Q70" s="591"/>
    </row>
    <row r="71" spans="2:17">
      <c r="B71" s="579"/>
      <c r="C71" s="1446" t="str">
        <f>"   Incremental FCR with "&amp;F17&amp;" Basis Point ROE increase, less Depreciation"</f>
        <v xml:space="preserve">   Incremental FCR with 0 Basis Point ROE increase, less Depreciation</v>
      </c>
      <c r="D71" s="1444"/>
      <c r="E71" s="543"/>
      <c r="F71" s="648">
        <f>F69-F70</f>
        <v>0</v>
      </c>
      <c r="G71" s="648"/>
      <c r="H71" s="543"/>
      <c r="I71" s="649"/>
      <c r="J71" s="543"/>
      <c r="K71" s="591"/>
      <c r="Q71" s="591"/>
    </row>
    <row r="72" spans="2:17">
      <c r="B72" s="579"/>
      <c r="C72" s="1444"/>
      <c r="D72" s="1444"/>
      <c r="E72" s="543"/>
      <c r="F72" s="648"/>
      <c r="G72" s="648"/>
      <c r="H72" s="543"/>
      <c r="I72" s="649"/>
      <c r="J72" s="543"/>
      <c r="K72" s="591"/>
      <c r="Q72" s="591"/>
    </row>
    <row r="73" spans="2:17" ht="18.75">
      <c r="B73" s="598" t="s">
        <v>174</v>
      </c>
      <c r="C73" s="597" t="s">
        <v>268</v>
      </c>
      <c r="D73" s="566"/>
      <c r="E73" s="543"/>
      <c r="F73" s="648"/>
      <c r="G73" s="648"/>
      <c r="H73" s="543"/>
      <c r="I73" s="649"/>
      <c r="J73" s="543"/>
      <c r="K73" s="591"/>
      <c r="Q73" s="591"/>
    </row>
    <row r="74" spans="2:17">
      <c r="B74" s="579"/>
      <c r="C74" s="658"/>
      <c r="D74" s="566"/>
      <c r="E74" s="543"/>
      <c r="F74" s="648"/>
      <c r="G74" s="648"/>
      <c r="H74" s="543"/>
      <c r="I74" s="649"/>
      <c r="J74" s="543"/>
      <c r="K74" s="591"/>
      <c r="Q74" s="591"/>
    </row>
    <row r="75" spans="2:17">
      <c r="B75" s="579"/>
      <c r="C75" s="658" t="str">
        <f>+"Average Transmission Plant Balance for "&amp;TCOS!L4&amp;" (TCOS, ln "&amp;TCOS!B68&amp;")"</f>
        <v>Average Transmission Plant Balance for 2018 (TCOS, ln 21)</v>
      </c>
      <c r="D75" s="566"/>
      <c r="H75" s="649">
        <f>TCOS!L68</f>
        <v>3030758258.7323074</v>
      </c>
      <c r="J75" s="543"/>
      <c r="K75" s="591"/>
      <c r="Q75" s="591"/>
    </row>
    <row r="76" spans="2:17">
      <c r="B76" s="579"/>
      <c r="C76" s="670" t="str">
        <f>"Annual Depreciation and Amortization Expense (TCOS, ln "&amp;TCOS!B174&amp;")"</f>
        <v>Annual Depreciation and Amortization Expense (TCOS, ln 100)</v>
      </c>
      <c r="D76" s="566"/>
      <c r="E76" s="543"/>
      <c r="H76" s="671">
        <f>TCOS!L174</f>
        <v>51211348.706752636</v>
      </c>
      <c r="I76" s="649"/>
      <c r="J76" s="543"/>
      <c r="K76" s="591"/>
      <c r="Q76" s="591"/>
    </row>
    <row r="77" spans="2:17">
      <c r="B77" s="579"/>
      <c r="C77" s="658" t="s">
        <v>269</v>
      </c>
      <c r="D77" s="566"/>
      <c r="E77" s="543"/>
      <c r="H77" s="648">
        <f>+H76/H75</f>
        <v>1.6897206683905267E-2</v>
      </c>
      <c r="I77" s="673"/>
      <c r="J77" s="543"/>
      <c r="K77" s="591"/>
      <c r="Q77" s="591"/>
    </row>
    <row r="78" spans="2:17">
      <c r="B78" s="579"/>
      <c r="C78" s="658" t="s">
        <v>270</v>
      </c>
      <c r="D78" s="566"/>
      <c r="E78" s="543"/>
      <c r="H78" s="673">
        <f>1/H77</f>
        <v>59.181379426015333</v>
      </c>
      <c r="I78" s="649"/>
      <c r="J78" s="543"/>
      <c r="K78" s="591"/>
      <c r="Q78" s="591"/>
    </row>
    <row r="79" spans="2:17">
      <c r="B79" s="579"/>
      <c r="C79" s="658" t="s">
        <v>271</v>
      </c>
      <c r="D79" s="566"/>
      <c r="E79" s="543"/>
      <c r="H79" s="674">
        <f>ROUND(H78,0)</f>
        <v>59</v>
      </c>
      <c r="I79" s="649"/>
      <c r="J79" s="543"/>
      <c r="K79" s="591"/>
      <c r="Q79" s="591"/>
    </row>
    <row r="80" spans="2:17">
      <c r="B80" s="579"/>
      <c r="C80" s="658"/>
      <c r="D80" s="566"/>
      <c r="E80" s="543"/>
      <c r="H80" s="674"/>
      <c r="I80" s="649"/>
      <c r="J80" s="543"/>
      <c r="K80" s="591"/>
      <c r="Q80" s="591"/>
    </row>
    <row r="81" spans="1:17">
      <c r="C81" s="675"/>
      <c r="D81" s="676"/>
      <c r="E81" s="676"/>
      <c r="F81" s="676"/>
      <c r="G81" s="676"/>
      <c r="H81" s="672"/>
      <c r="I81" s="672"/>
      <c r="J81" s="677"/>
      <c r="K81" s="677"/>
      <c r="L81" s="677"/>
      <c r="M81" s="677"/>
      <c r="N81" s="677"/>
      <c r="O81" s="677"/>
      <c r="Q81" s="677"/>
    </row>
    <row r="82" spans="1:17">
      <c r="B82" s="334"/>
      <c r="C82" s="675"/>
      <c r="D82" s="676"/>
      <c r="E82" s="676"/>
      <c r="F82" s="676"/>
      <c r="G82" s="676"/>
      <c r="H82" s="672"/>
      <c r="I82" s="672"/>
      <c r="J82" s="677"/>
      <c r="K82" s="677"/>
      <c r="L82" s="677"/>
      <c r="M82" s="677"/>
      <c r="N82" s="677"/>
      <c r="O82" s="677"/>
      <c r="Q82" s="677"/>
    </row>
    <row r="83" spans="1:17" ht="20.25">
      <c r="A83" s="678" t="s">
        <v>780</v>
      </c>
      <c r="B83" s="543"/>
      <c r="C83" s="658"/>
      <c r="D83" s="566"/>
      <c r="E83" s="543"/>
      <c r="F83" s="648"/>
      <c r="G83" s="648"/>
      <c r="H83" s="543"/>
      <c r="I83" s="649"/>
      <c r="L83" s="679"/>
      <c r="M83" s="679"/>
      <c r="N83" s="679"/>
      <c r="O83" s="594" t="str">
        <f>"Page "&amp;SUM(Q$3:Q83)&amp;" of "</f>
        <v xml:space="preserve">Page 2 of </v>
      </c>
      <c r="P83" s="595">
        <f>COUNT(Q$8:Q$58123)</f>
        <v>15</v>
      </c>
      <c r="Q83" s="763">
        <v>1</v>
      </c>
    </row>
    <row r="84" spans="1:17">
      <c r="B84" s="543"/>
      <c r="C84" s="543"/>
      <c r="D84" s="566"/>
      <c r="E84" s="543"/>
      <c r="F84" s="543"/>
      <c r="G84" s="543"/>
      <c r="H84" s="543"/>
      <c r="I84" s="649"/>
      <c r="J84" s="543"/>
      <c r="K84" s="591"/>
      <c r="Q84" s="591"/>
    </row>
    <row r="85" spans="1:17" ht="18">
      <c r="B85" s="598" t="s">
        <v>175</v>
      </c>
      <c r="C85" s="680" t="s">
        <v>291</v>
      </c>
      <c r="D85" s="566"/>
      <c r="E85" s="543"/>
      <c r="F85" s="543"/>
      <c r="G85" s="543"/>
      <c r="H85" s="543"/>
      <c r="I85" s="649"/>
      <c r="J85" s="649"/>
      <c r="K85" s="672"/>
      <c r="L85" s="649"/>
      <c r="M85" s="649"/>
      <c r="N85" s="649"/>
      <c r="O85" s="649"/>
      <c r="Q85" s="672"/>
    </row>
    <row r="86" spans="1:17" ht="18.75">
      <c r="B86" s="598"/>
      <c r="C86" s="597"/>
      <c r="D86" s="566"/>
      <c r="E86" s="543"/>
      <c r="F86" s="543"/>
      <c r="G86" s="543"/>
      <c r="H86" s="543"/>
      <c r="I86" s="649"/>
      <c r="J86" s="649"/>
      <c r="K86" s="672"/>
      <c r="L86" s="649"/>
      <c r="M86" s="649"/>
      <c r="N86" s="649"/>
      <c r="O86" s="649"/>
      <c r="Q86" s="672"/>
    </row>
    <row r="87" spans="1:17" ht="18.75">
      <c r="B87" s="598"/>
      <c r="C87" s="597" t="s">
        <v>292</v>
      </c>
      <c r="D87" s="566"/>
      <c r="E87" s="543"/>
      <c r="F87" s="543"/>
      <c r="G87" s="543"/>
      <c r="H87" s="543"/>
      <c r="I87" s="649"/>
      <c r="J87" s="649"/>
      <c r="K87" s="672"/>
      <c r="L87" s="649"/>
      <c r="M87" s="649"/>
      <c r="N87" s="649"/>
      <c r="O87" s="649"/>
      <c r="Q87" s="672"/>
    </row>
    <row r="88" spans="1:17" ht="15.75" thickBot="1">
      <c r="B88" s="334"/>
      <c r="C88" s="400"/>
      <c r="D88" s="566"/>
      <c r="E88" s="543"/>
      <c r="F88" s="543"/>
      <c r="G88" s="543"/>
      <c r="H88" s="543"/>
      <c r="I88" s="649"/>
      <c r="J88" s="649"/>
      <c r="K88" s="672"/>
      <c r="L88" s="649"/>
      <c r="M88" s="649"/>
      <c r="N88" s="649"/>
      <c r="O88" s="649"/>
      <c r="Q88" s="672"/>
    </row>
    <row r="89" spans="1:17" ht="15.75">
      <c r="B89" s="334"/>
      <c r="C89" s="599" t="s">
        <v>293</v>
      </c>
      <c r="D89" s="566"/>
      <c r="E89" s="543"/>
      <c r="F89" s="543"/>
      <c r="G89" s="543"/>
      <c r="H89" s="874"/>
      <c r="I89" s="543" t="s">
        <v>272</v>
      </c>
      <c r="J89" s="543"/>
      <c r="K89" s="591"/>
      <c r="L89" s="764">
        <f>+J95</f>
        <v>2018</v>
      </c>
      <c r="M89" s="746" t="s">
        <v>255</v>
      </c>
      <c r="N89" s="746" t="s">
        <v>256</v>
      </c>
      <c r="O89" s="747" t="s">
        <v>257</v>
      </c>
      <c r="Q89" s="591"/>
    </row>
    <row r="90" spans="1:17" ht="15.75">
      <c r="B90" s="334"/>
      <c r="C90" s="599"/>
      <c r="D90" s="566"/>
      <c r="E90" s="543"/>
      <c r="F90" s="543"/>
      <c r="H90" s="543"/>
      <c r="I90" s="684"/>
      <c r="J90" s="684"/>
      <c r="K90" s="685"/>
      <c r="L90" s="765" t="s">
        <v>456</v>
      </c>
      <c r="M90" s="766">
        <f>VLOOKUP(J95,C102:P161,10)</f>
        <v>1501804</v>
      </c>
      <c r="N90" s="766">
        <f>VLOOKUP(J95,C102:P161,12)</f>
        <v>1501804</v>
      </c>
      <c r="O90" s="767">
        <f>+N90-M90</f>
        <v>0</v>
      </c>
      <c r="Q90" s="685"/>
    </row>
    <row r="91" spans="1:17">
      <c r="B91" s="334"/>
      <c r="C91" s="687" t="s">
        <v>294</v>
      </c>
      <c r="D91" s="1434" t="s">
        <v>994</v>
      </c>
      <c r="E91" s="1434"/>
      <c r="F91" s="1434"/>
      <c r="G91" s="1434"/>
      <c r="H91" s="885"/>
      <c r="I91" s="649"/>
      <c r="J91" s="649"/>
      <c r="K91" s="672"/>
      <c r="L91" s="765" t="s">
        <v>457</v>
      </c>
      <c r="M91" s="768">
        <f>VLOOKUP(J95,C102:P161,6)</f>
        <v>1469471.9061440425</v>
      </c>
      <c r="N91" s="768">
        <f>VLOOKUP(J95,C102:P161,7)</f>
        <v>1469471.9061440425</v>
      </c>
      <c r="O91" s="769">
        <f>+N91-M91</f>
        <v>0</v>
      </c>
      <c r="Q91" s="672"/>
    </row>
    <row r="92" spans="1:17" ht="13.5" thickBot="1">
      <c r="B92" s="334"/>
      <c r="C92" s="689"/>
      <c r="D92" s="690"/>
      <c r="E92" s="674"/>
      <c r="F92" s="674"/>
      <c r="G92" s="674"/>
      <c r="H92" s="691"/>
      <c r="I92" s="649"/>
      <c r="J92" s="649"/>
      <c r="K92" s="672"/>
      <c r="L92" s="710" t="s">
        <v>458</v>
      </c>
      <c r="M92" s="770">
        <f>+M91-M90</f>
        <v>-32332.093855957501</v>
      </c>
      <c r="N92" s="770">
        <f>+N91-N90</f>
        <v>-32332.093855957501</v>
      </c>
      <c r="O92" s="771">
        <f>+O91-O90</f>
        <v>0</v>
      </c>
      <c r="Q92" s="672"/>
    </row>
    <row r="93" spans="1:17" ht="13.5" thickBot="1">
      <c r="B93" s="334"/>
      <c r="C93" s="692"/>
      <c r="D93" s="693"/>
      <c r="E93" s="691"/>
      <c r="F93" s="691"/>
      <c r="G93" s="691"/>
      <c r="H93" s="691"/>
      <c r="I93" s="691"/>
      <c r="J93" s="691"/>
      <c r="K93" s="694"/>
      <c r="L93" s="691"/>
      <c r="M93" s="691"/>
      <c r="N93" s="691"/>
      <c r="O93" s="691"/>
      <c r="P93" s="579"/>
      <c r="Q93" s="694"/>
    </row>
    <row r="94" spans="1:17" ht="13.5" thickBot="1">
      <c r="B94" s="334"/>
      <c r="C94" s="696" t="s">
        <v>295</v>
      </c>
      <c r="D94" s="697"/>
      <c r="E94" s="697"/>
      <c r="F94" s="697"/>
      <c r="G94" s="697"/>
      <c r="H94" s="697"/>
      <c r="I94" s="697"/>
      <c r="J94" s="697"/>
      <c r="K94" s="699"/>
      <c r="P94" s="700"/>
      <c r="Q94" s="699"/>
    </row>
    <row r="95" spans="1:17" ht="15">
      <c r="A95" s="695"/>
      <c r="B95" s="334"/>
      <c r="C95" s="702" t="s">
        <v>273</v>
      </c>
      <c r="D95" s="875">
        <v>13789272</v>
      </c>
      <c r="E95" s="658" t="s">
        <v>274</v>
      </c>
      <c r="H95" s="703"/>
      <c r="I95" s="703"/>
      <c r="J95" s="704">
        <v>2018</v>
      </c>
      <c r="K95" s="589"/>
      <c r="L95" s="1445" t="s">
        <v>275</v>
      </c>
      <c r="M95" s="1445"/>
      <c r="N95" s="1445"/>
      <c r="O95" s="1445"/>
      <c r="P95" s="591"/>
      <c r="Q95" s="589"/>
    </row>
    <row r="96" spans="1:17">
      <c r="A96" s="695"/>
      <c r="B96" s="334"/>
      <c r="C96" s="702" t="s">
        <v>276</v>
      </c>
      <c r="D96" s="886">
        <v>2008</v>
      </c>
      <c r="E96" s="702" t="s">
        <v>277</v>
      </c>
      <c r="F96" s="703"/>
      <c r="G96" s="703"/>
      <c r="I96" s="334"/>
      <c r="J96" s="879">
        <v>0</v>
      </c>
      <c r="K96" s="705"/>
      <c r="L96" s="672" t="s">
        <v>476</v>
      </c>
      <c r="P96" s="591"/>
      <c r="Q96" s="705"/>
    </row>
    <row r="97" spans="1:17">
      <c r="A97" s="695"/>
      <c r="B97" s="334"/>
      <c r="C97" s="702" t="s">
        <v>278</v>
      </c>
      <c r="D97" s="877">
        <v>6</v>
      </c>
      <c r="E97" s="702" t="s">
        <v>279</v>
      </c>
      <c r="F97" s="703"/>
      <c r="G97" s="703"/>
      <c r="I97" s="334"/>
      <c r="J97" s="706">
        <f>$F$70</f>
        <v>0.10790637951024619</v>
      </c>
      <c r="K97" s="707"/>
      <c r="L97" s="543" t="str">
        <f>"          INPUT TRUE-UP ARR (WITH &amp; WITHOUT INCENTIVES) FROM EACH PRIOR YEAR"</f>
        <v xml:space="preserve">          INPUT TRUE-UP ARR (WITH &amp; WITHOUT INCENTIVES) FROM EACH PRIOR YEAR</v>
      </c>
      <c r="P97" s="591"/>
      <c r="Q97" s="707"/>
    </row>
    <row r="98" spans="1:17">
      <c r="A98" s="695"/>
      <c r="B98" s="334"/>
      <c r="C98" s="702" t="s">
        <v>280</v>
      </c>
      <c r="D98" s="708">
        <f>H79</f>
        <v>59</v>
      </c>
      <c r="E98" s="702" t="s">
        <v>281</v>
      </c>
      <c r="F98" s="703"/>
      <c r="G98" s="703"/>
      <c r="I98" s="334"/>
      <c r="J98" s="706">
        <f>IF(H89="",J97,$F$69)</f>
        <v>0.10790637951024619</v>
      </c>
      <c r="K98" s="709"/>
      <c r="L98" s="543" t="s">
        <v>363</v>
      </c>
      <c r="M98" s="709"/>
      <c r="N98" s="709"/>
      <c r="O98" s="709"/>
      <c r="P98" s="591"/>
      <c r="Q98" s="709"/>
    </row>
    <row r="99" spans="1:17" ht="13.5" thickBot="1">
      <c r="A99" s="695"/>
      <c r="B99" s="334"/>
      <c r="C99" s="702" t="s">
        <v>282</v>
      </c>
      <c r="D99" s="878" t="s">
        <v>995</v>
      </c>
      <c r="E99" s="710" t="s">
        <v>283</v>
      </c>
      <c r="F99" s="711"/>
      <c r="G99" s="711"/>
      <c r="H99" s="712"/>
      <c r="I99" s="712"/>
      <c r="J99" s="688">
        <f>IF(D95=0,0,D95/D98)</f>
        <v>233716.4745762712</v>
      </c>
      <c r="K99" s="672"/>
      <c r="L99" s="672" t="s">
        <v>364</v>
      </c>
      <c r="M99" s="672"/>
      <c r="N99" s="672"/>
      <c r="O99" s="672"/>
      <c r="P99" s="591"/>
      <c r="Q99" s="672"/>
    </row>
    <row r="100" spans="1:17" ht="38.25">
      <c r="A100" s="530"/>
      <c r="B100" s="530"/>
      <c r="C100" s="713" t="s">
        <v>273</v>
      </c>
      <c r="D100" s="714" t="s">
        <v>284</v>
      </c>
      <c r="E100" s="715" t="s">
        <v>285</v>
      </c>
      <c r="F100" s="714" t="s">
        <v>286</v>
      </c>
      <c r="G100" s="714" t="s">
        <v>459</v>
      </c>
      <c r="H100" s="715" t="s">
        <v>357</v>
      </c>
      <c r="I100" s="716" t="s">
        <v>357</v>
      </c>
      <c r="J100" s="713" t="s">
        <v>296</v>
      </c>
      <c r="K100" s="717"/>
      <c r="L100" s="715" t="s">
        <v>359</v>
      </c>
      <c r="M100" s="715" t="s">
        <v>365</v>
      </c>
      <c r="N100" s="715" t="s">
        <v>359</v>
      </c>
      <c r="O100" s="715" t="s">
        <v>367</v>
      </c>
      <c r="P100" s="715" t="s">
        <v>287</v>
      </c>
      <c r="Q100" s="718"/>
    </row>
    <row r="101" spans="1:17" ht="13.5" thickBot="1">
      <c r="B101" s="334"/>
      <c r="C101" s="719" t="s">
        <v>178</v>
      </c>
      <c r="D101" s="720" t="s">
        <v>179</v>
      </c>
      <c r="E101" s="719" t="s">
        <v>37</v>
      </c>
      <c r="F101" s="720" t="s">
        <v>179</v>
      </c>
      <c r="G101" s="720" t="s">
        <v>179</v>
      </c>
      <c r="H101" s="721" t="s">
        <v>299</v>
      </c>
      <c r="I101" s="722" t="s">
        <v>301</v>
      </c>
      <c r="J101" s="723" t="s">
        <v>390</v>
      </c>
      <c r="K101" s="724"/>
      <c r="L101" s="721" t="s">
        <v>288</v>
      </c>
      <c r="M101" s="721" t="s">
        <v>288</v>
      </c>
      <c r="N101" s="721" t="s">
        <v>468</v>
      </c>
      <c r="O101" s="721" t="s">
        <v>468</v>
      </c>
      <c r="P101" s="721" t="s">
        <v>468</v>
      </c>
      <c r="Q101" s="589"/>
    </row>
    <row r="102" spans="1:17">
      <c r="B102" s="334"/>
      <c r="C102" s="725">
        <f>IF(D96= "","-",D96)</f>
        <v>2008</v>
      </c>
      <c r="D102" s="676">
        <f>+D95</f>
        <v>13789272</v>
      </c>
      <c r="E102" s="726">
        <f>+J99/12*(12-D97)</f>
        <v>116858.2372881356</v>
      </c>
      <c r="F102" s="772">
        <f t="shared" ref="F102:F133" si="0">+D102-E102</f>
        <v>13672413.762711864</v>
      </c>
      <c r="G102" s="676">
        <f t="shared" ref="G102:G133" si="1">+(D102+F102)/2</f>
        <v>13730842.881355932</v>
      </c>
      <c r="H102" s="727">
        <f>+J97*G102+E102</f>
        <v>1598503.780239291</v>
      </c>
      <c r="I102" s="728">
        <f>+J98*G102+E102</f>
        <v>1598503.780239291</v>
      </c>
      <c r="J102" s="729">
        <f t="shared" ref="J102:J133" si="2">+I102-H102</f>
        <v>0</v>
      </c>
      <c r="K102" s="729"/>
      <c r="L102" s="730">
        <v>0</v>
      </c>
      <c r="M102" s="773">
        <f t="shared" ref="M102:M133" si="3">IF(L102&lt;&gt;0,+H102-L102,0)</f>
        <v>0</v>
      </c>
      <c r="N102" s="730">
        <v>0</v>
      </c>
      <c r="O102" s="773">
        <f t="shared" ref="O102:O133" si="4">IF(N102&lt;&gt;0,+I102-N102,0)</f>
        <v>0</v>
      </c>
      <c r="P102" s="773">
        <f t="shared" ref="P102:P133" si="5">+O102-M102</f>
        <v>0</v>
      </c>
      <c r="Q102" s="677"/>
    </row>
    <row r="103" spans="1:17">
      <c r="B103" s="334"/>
      <c r="C103" s="725">
        <f>IF(D96="","-",+C102+1)</f>
        <v>2009</v>
      </c>
      <c r="D103" s="676">
        <f t="shared" ref="D103:D134" si="6">F102</f>
        <v>13672413.762711864</v>
      </c>
      <c r="E103" s="732">
        <f t="shared" ref="E103:E134" si="7">IF(D103&gt;$J$99,$J$99,D103)</f>
        <v>233716.4745762712</v>
      </c>
      <c r="F103" s="732">
        <f t="shared" si="0"/>
        <v>13438697.288135592</v>
      </c>
      <c r="G103" s="676">
        <f t="shared" si="1"/>
        <v>13555555.525423728</v>
      </c>
      <c r="H103" s="726">
        <f>+J97*G103+E103</f>
        <v>1696447.3935748585</v>
      </c>
      <c r="I103" s="733">
        <f>+J98*G103+E103</f>
        <v>1696447.3935748585</v>
      </c>
      <c r="J103" s="729">
        <f t="shared" si="2"/>
        <v>0</v>
      </c>
      <c r="K103" s="729"/>
      <c r="L103" s="734">
        <v>1124469.1016438</v>
      </c>
      <c r="M103" s="729">
        <f t="shared" si="3"/>
        <v>571978.29193105851</v>
      </c>
      <c r="N103" s="734">
        <v>1124469.1016438</v>
      </c>
      <c r="O103" s="729">
        <f t="shared" si="4"/>
        <v>571978.29193105851</v>
      </c>
      <c r="P103" s="729">
        <f t="shared" si="5"/>
        <v>0</v>
      </c>
      <c r="Q103" s="677"/>
    </row>
    <row r="104" spans="1:17">
      <c r="B104" s="334"/>
      <c r="C104" s="725">
        <f>IF(D96="","-",+C103+1)</f>
        <v>2010</v>
      </c>
      <c r="D104" s="676">
        <f t="shared" si="6"/>
        <v>13438697.288135592</v>
      </c>
      <c r="E104" s="732">
        <f t="shared" si="7"/>
        <v>233716.4745762712</v>
      </c>
      <c r="F104" s="732">
        <f t="shared" si="0"/>
        <v>13204980.81355932</v>
      </c>
      <c r="G104" s="676">
        <f t="shared" si="1"/>
        <v>13321839.050847456</v>
      </c>
      <c r="H104" s="726">
        <f>+J97*G104+E104</f>
        <v>1671227.8949714345</v>
      </c>
      <c r="I104" s="733">
        <f>+J98*G104+E104</f>
        <v>1671227.8949714345</v>
      </c>
      <c r="J104" s="729">
        <f t="shared" si="2"/>
        <v>0</v>
      </c>
      <c r="K104" s="729"/>
      <c r="L104" s="734">
        <v>2027403</v>
      </c>
      <c r="M104" s="729">
        <f t="shared" si="3"/>
        <v>-356175.10502856551</v>
      </c>
      <c r="N104" s="734">
        <v>2027403</v>
      </c>
      <c r="O104" s="729">
        <f t="shared" si="4"/>
        <v>-356175.10502856551</v>
      </c>
      <c r="P104" s="729">
        <f t="shared" si="5"/>
        <v>0</v>
      </c>
      <c r="Q104" s="677"/>
    </row>
    <row r="105" spans="1:17">
      <c r="B105" s="334"/>
      <c r="C105" s="725">
        <f>IF(D96="","-",+C104+1)</f>
        <v>2011</v>
      </c>
      <c r="D105" s="676">
        <f t="shared" si="6"/>
        <v>13204980.81355932</v>
      </c>
      <c r="E105" s="732">
        <f t="shared" si="7"/>
        <v>233716.4745762712</v>
      </c>
      <c r="F105" s="732">
        <f t="shared" si="0"/>
        <v>12971264.338983048</v>
      </c>
      <c r="G105" s="676">
        <f t="shared" si="1"/>
        <v>13088122.576271184</v>
      </c>
      <c r="H105" s="726">
        <f>+J97*G105+E105</f>
        <v>1646008.3963680107</v>
      </c>
      <c r="I105" s="733">
        <f>+J98*G105+E105</f>
        <v>1646008.3963680107</v>
      </c>
      <c r="J105" s="729">
        <f t="shared" si="2"/>
        <v>0</v>
      </c>
      <c r="K105" s="729"/>
      <c r="L105" s="734">
        <v>2050107</v>
      </c>
      <c r="M105" s="729">
        <f t="shared" si="3"/>
        <v>-404098.60363198933</v>
      </c>
      <c r="N105" s="734">
        <v>2050107</v>
      </c>
      <c r="O105" s="729">
        <f t="shared" si="4"/>
        <v>-404098.60363198933</v>
      </c>
      <c r="P105" s="729">
        <f t="shared" si="5"/>
        <v>0</v>
      </c>
      <c r="Q105" s="677"/>
    </row>
    <row r="106" spans="1:17">
      <c r="B106" s="334"/>
      <c r="C106" s="725">
        <f>IF(D96="","-",+C105+1)</f>
        <v>2012</v>
      </c>
      <c r="D106" s="676">
        <f t="shared" si="6"/>
        <v>12971264.338983048</v>
      </c>
      <c r="E106" s="732">
        <f t="shared" si="7"/>
        <v>233716.4745762712</v>
      </c>
      <c r="F106" s="732">
        <f t="shared" si="0"/>
        <v>12737547.864406776</v>
      </c>
      <c r="G106" s="676">
        <f t="shared" si="1"/>
        <v>12854406.101694912</v>
      </c>
      <c r="H106" s="726">
        <f>+J97*G106+E106</f>
        <v>1620788.8977645866</v>
      </c>
      <c r="I106" s="733">
        <f>+J98*G106+E106</f>
        <v>1620788.8977645866</v>
      </c>
      <c r="J106" s="729">
        <f t="shared" si="2"/>
        <v>0</v>
      </c>
      <c r="K106" s="729"/>
      <c r="L106" s="734">
        <v>1906118.0340840491</v>
      </c>
      <c r="M106" s="729">
        <f t="shared" si="3"/>
        <v>-285329.13631946244</v>
      </c>
      <c r="N106" s="734">
        <v>1906118.0340840491</v>
      </c>
      <c r="O106" s="729">
        <f t="shared" si="4"/>
        <v>-285329.13631946244</v>
      </c>
      <c r="P106" s="729">
        <f t="shared" si="5"/>
        <v>0</v>
      </c>
      <c r="Q106" s="677"/>
    </row>
    <row r="107" spans="1:17">
      <c r="B107" s="334"/>
      <c r="C107" s="725">
        <f>IF(D96="","-",+C106+1)</f>
        <v>2013</v>
      </c>
      <c r="D107" s="676">
        <f t="shared" si="6"/>
        <v>12737547.864406776</v>
      </c>
      <c r="E107" s="732">
        <f t="shared" si="7"/>
        <v>233716.4745762712</v>
      </c>
      <c r="F107" s="732">
        <f t="shared" si="0"/>
        <v>12503831.389830504</v>
      </c>
      <c r="G107" s="676">
        <f t="shared" si="1"/>
        <v>12620689.62711864</v>
      </c>
      <c r="H107" s="726">
        <f>+J97*G107+E107</f>
        <v>1595569.3991611626</v>
      </c>
      <c r="I107" s="733">
        <f>+J98*G107+E107</f>
        <v>1595569.3991611626</v>
      </c>
      <c r="J107" s="729">
        <f t="shared" si="2"/>
        <v>0</v>
      </c>
      <c r="K107" s="729"/>
      <c r="L107" s="734">
        <v>1915150</v>
      </c>
      <c r="M107" s="729">
        <f t="shared" si="3"/>
        <v>-319580.60083883745</v>
      </c>
      <c r="N107" s="734">
        <v>1915150</v>
      </c>
      <c r="O107" s="729">
        <f t="shared" si="4"/>
        <v>-319580.60083883745</v>
      </c>
      <c r="P107" s="729">
        <f t="shared" si="5"/>
        <v>0</v>
      </c>
      <c r="Q107" s="677"/>
    </row>
    <row r="108" spans="1:17">
      <c r="B108" s="334"/>
      <c r="C108" s="725">
        <f>IF(D96="","-",+C107+1)</f>
        <v>2014</v>
      </c>
      <c r="D108" s="676">
        <f t="shared" si="6"/>
        <v>12503831.389830504</v>
      </c>
      <c r="E108" s="732">
        <f t="shared" si="7"/>
        <v>233716.4745762712</v>
      </c>
      <c r="F108" s="732">
        <f t="shared" si="0"/>
        <v>12270114.915254232</v>
      </c>
      <c r="G108" s="676">
        <f t="shared" si="1"/>
        <v>12386973.152542368</v>
      </c>
      <c r="H108" s="726">
        <f>+J97*G108+E108</f>
        <v>1570349.9005577385</v>
      </c>
      <c r="I108" s="733">
        <f>+J98*G108+E108</f>
        <v>1570349.9005577385</v>
      </c>
      <c r="J108" s="729">
        <f t="shared" si="2"/>
        <v>0</v>
      </c>
      <c r="K108" s="729"/>
      <c r="L108" s="734">
        <v>1778172</v>
      </c>
      <c r="M108" s="729">
        <f t="shared" si="3"/>
        <v>-207822.0994422615</v>
      </c>
      <c r="N108" s="734">
        <v>1778172</v>
      </c>
      <c r="O108" s="729">
        <f t="shared" si="4"/>
        <v>-207822.0994422615</v>
      </c>
      <c r="P108" s="729">
        <f t="shared" si="5"/>
        <v>0</v>
      </c>
      <c r="Q108" s="677"/>
    </row>
    <row r="109" spans="1:17">
      <c r="B109" s="334"/>
      <c r="C109" s="725">
        <f>IF(D96="","-",+C108+1)</f>
        <v>2015</v>
      </c>
      <c r="D109" s="676">
        <f t="shared" si="6"/>
        <v>12270114.915254232</v>
      </c>
      <c r="E109" s="732">
        <f t="shared" si="7"/>
        <v>233716.4745762712</v>
      </c>
      <c r="F109" s="732">
        <f t="shared" si="0"/>
        <v>12036398.440677959</v>
      </c>
      <c r="G109" s="676">
        <f t="shared" si="1"/>
        <v>12153256.677966096</v>
      </c>
      <c r="H109" s="726">
        <f>+J97*G109+E109</f>
        <v>1545130.4019543144</v>
      </c>
      <c r="I109" s="733">
        <f>+J98*G109+E109</f>
        <v>1545130.4019543144</v>
      </c>
      <c r="J109" s="729">
        <f t="shared" si="2"/>
        <v>0</v>
      </c>
      <c r="K109" s="729"/>
      <c r="L109" s="734">
        <v>1790894</v>
      </c>
      <c r="M109" s="729">
        <f t="shared" si="3"/>
        <v>-245763.59804568556</v>
      </c>
      <c r="N109" s="734">
        <v>1790894</v>
      </c>
      <c r="O109" s="729">
        <f t="shared" si="4"/>
        <v>-245763.59804568556</v>
      </c>
      <c r="P109" s="729">
        <f t="shared" si="5"/>
        <v>0</v>
      </c>
      <c r="Q109" s="677"/>
    </row>
    <row r="110" spans="1:17">
      <c r="B110" s="334"/>
      <c r="C110" s="725">
        <f>IF(D96="","-",+C109+1)</f>
        <v>2016</v>
      </c>
      <c r="D110" s="676">
        <f t="shared" si="6"/>
        <v>12036398.440677959</v>
      </c>
      <c r="E110" s="732">
        <f t="shared" si="7"/>
        <v>233716.4745762712</v>
      </c>
      <c r="F110" s="732">
        <f t="shared" si="0"/>
        <v>11802681.966101687</v>
      </c>
      <c r="G110" s="676">
        <f t="shared" si="1"/>
        <v>11919540.203389823</v>
      </c>
      <c r="H110" s="726">
        <f>+J97*G110+E110</f>
        <v>1519910.9033508904</v>
      </c>
      <c r="I110" s="733">
        <f>+J98*G110+E110</f>
        <v>1519910.9033508904</v>
      </c>
      <c r="J110" s="729">
        <f t="shared" si="2"/>
        <v>0</v>
      </c>
      <c r="K110" s="729"/>
      <c r="L110" s="734">
        <v>1719834</v>
      </c>
      <c r="M110" s="729">
        <f t="shared" si="3"/>
        <v>-199923.09664910962</v>
      </c>
      <c r="N110" s="734">
        <v>1719834</v>
      </c>
      <c r="O110" s="729">
        <f t="shared" si="4"/>
        <v>-199923.09664910962</v>
      </c>
      <c r="P110" s="729">
        <f t="shared" si="5"/>
        <v>0</v>
      </c>
      <c r="Q110" s="677"/>
    </row>
    <row r="111" spans="1:17">
      <c r="B111" s="334"/>
      <c r="C111" s="725">
        <f>IF(D96="","-",+C110+1)</f>
        <v>2017</v>
      </c>
      <c r="D111" s="676">
        <f t="shared" si="6"/>
        <v>11802681.966101687</v>
      </c>
      <c r="E111" s="732">
        <f t="shared" si="7"/>
        <v>233716.4745762712</v>
      </c>
      <c r="F111" s="732">
        <f t="shared" si="0"/>
        <v>11568965.491525415</v>
      </c>
      <c r="G111" s="676">
        <f t="shared" si="1"/>
        <v>11685823.728813551</v>
      </c>
      <c r="H111" s="726">
        <f>+J97*G111+E111</f>
        <v>1494691.4047474666</v>
      </c>
      <c r="I111" s="733">
        <f>+J98*G111+E111</f>
        <v>1494691.4047474666</v>
      </c>
      <c r="J111" s="729">
        <f t="shared" si="2"/>
        <v>0</v>
      </c>
      <c r="K111" s="729"/>
      <c r="L111" s="734">
        <v>1743200</v>
      </c>
      <c r="M111" s="729">
        <f t="shared" si="3"/>
        <v>-248508.59525253344</v>
      </c>
      <c r="N111" s="734">
        <v>1743200</v>
      </c>
      <c r="O111" s="729">
        <f t="shared" si="4"/>
        <v>-248508.59525253344</v>
      </c>
      <c r="P111" s="729">
        <f t="shared" si="5"/>
        <v>0</v>
      </c>
      <c r="Q111" s="677"/>
    </row>
    <row r="112" spans="1:17">
      <c r="B112" s="334"/>
      <c r="C112" s="1281">
        <f>IF(D96="","-",+C111+1)</f>
        <v>2018</v>
      </c>
      <c r="D112" s="676">
        <f t="shared" si="6"/>
        <v>11568965.491525415</v>
      </c>
      <c r="E112" s="732">
        <f t="shared" si="7"/>
        <v>233716.4745762712</v>
      </c>
      <c r="F112" s="732">
        <f t="shared" si="0"/>
        <v>11335249.016949143</v>
      </c>
      <c r="G112" s="676">
        <f t="shared" si="1"/>
        <v>11452107.254237279</v>
      </c>
      <c r="H112" s="726">
        <f>+J97*G112+E112</f>
        <v>1469471.9061440425</v>
      </c>
      <c r="I112" s="733">
        <f>+J98*G112+E112</f>
        <v>1469471.9061440425</v>
      </c>
      <c r="J112" s="729">
        <f t="shared" si="2"/>
        <v>0</v>
      </c>
      <c r="K112" s="729"/>
      <c r="L112" s="734">
        <v>1501804</v>
      </c>
      <c r="M112" s="729">
        <f t="shared" si="3"/>
        <v>-32332.093855957501</v>
      </c>
      <c r="N112" s="734">
        <v>1501804</v>
      </c>
      <c r="O112" s="729">
        <f t="shared" si="4"/>
        <v>-32332.093855957501</v>
      </c>
      <c r="P112" s="729">
        <f t="shared" si="5"/>
        <v>0</v>
      </c>
      <c r="Q112" s="677"/>
    </row>
    <row r="113" spans="2:17">
      <c r="B113" s="334"/>
      <c r="C113" s="725">
        <f>IF(D96="","-",+C112+1)</f>
        <v>2019</v>
      </c>
      <c r="D113" s="676">
        <f t="shared" si="6"/>
        <v>11335249.016949143</v>
      </c>
      <c r="E113" s="732">
        <f t="shared" si="7"/>
        <v>233716.4745762712</v>
      </c>
      <c r="F113" s="732">
        <f t="shared" si="0"/>
        <v>11101532.542372871</v>
      </c>
      <c r="G113" s="676">
        <f t="shared" si="1"/>
        <v>11218390.779661007</v>
      </c>
      <c r="H113" s="726">
        <f>+J97*G113+E113</f>
        <v>1444252.4075406184</v>
      </c>
      <c r="I113" s="733">
        <f>+J98*G113+E113</f>
        <v>1444252.4075406184</v>
      </c>
      <c r="J113" s="729">
        <f t="shared" si="2"/>
        <v>0</v>
      </c>
      <c r="K113" s="729"/>
      <c r="L113" s="734"/>
      <c r="M113" s="729">
        <f t="shared" si="3"/>
        <v>0</v>
      </c>
      <c r="N113" s="734"/>
      <c r="O113" s="729">
        <f t="shared" si="4"/>
        <v>0</v>
      </c>
      <c r="P113" s="729">
        <f t="shared" si="5"/>
        <v>0</v>
      </c>
      <c r="Q113" s="677"/>
    </row>
    <row r="114" spans="2:17">
      <c r="B114" s="334"/>
      <c r="C114" s="725">
        <f>IF(D96="","-",+C113+1)</f>
        <v>2020</v>
      </c>
      <c r="D114" s="676">
        <f t="shared" si="6"/>
        <v>11101532.542372871</v>
      </c>
      <c r="E114" s="732">
        <f t="shared" si="7"/>
        <v>233716.4745762712</v>
      </c>
      <c r="F114" s="732">
        <f t="shared" si="0"/>
        <v>10867816.067796599</v>
      </c>
      <c r="G114" s="676">
        <f t="shared" si="1"/>
        <v>10984674.305084735</v>
      </c>
      <c r="H114" s="726">
        <f>+J97*G114+E114</f>
        <v>1419032.9089371944</v>
      </c>
      <c r="I114" s="733">
        <f>+J98*G114+E114</f>
        <v>1419032.9089371944</v>
      </c>
      <c r="J114" s="729">
        <f t="shared" si="2"/>
        <v>0</v>
      </c>
      <c r="K114" s="729"/>
      <c r="L114" s="734"/>
      <c r="M114" s="729">
        <f t="shared" si="3"/>
        <v>0</v>
      </c>
      <c r="N114" s="734"/>
      <c r="O114" s="729">
        <f t="shared" si="4"/>
        <v>0</v>
      </c>
      <c r="P114" s="729">
        <f t="shared" si="5"/>
        <v>0</v>
      </c>
      <c r="Q114" s="677"/>
    </row>
    <row r="115" spans="2:17">
      <c r="B115" s="334"/>
      <c r="C115" s="725">
        <f>IF(D96="","-",+C114+1)</f>
        <v>2021</v>
      </c>
      <c r="D115" s="676">
        <f t="shared" si="6"/>
        <v>10867816.067796599</v>
      </c>
      <c r="E115" s="732">
        <f t="shared" si="7"/>
        <v>233716.4745762712</v>
      </c>
      <c r="F115" s="732">
        <f t="shared" si="0"/>
        <v>10634099.593220327</v>
      </c>
      <c r="G115" s="676">
        <f t="shared" si="1"/>
        <v>10750957.830508463</v>
      </c>
      <c r="H115" s="726">
        <f>+J97*G115+E115</f>
        <v>1393813.4103337703</v>
      </c>
      <c r="I115" s="733">
        <f>+J98*G115+E115</f>
        <v>1393813.4103337703</v>
      </c>
      <c r="J115" s="729">
        <f t="shared" si="2"/>
        <v>0</v>
      </c>
      <c r="K115" s="729"/>
      <c r="L115" s="734"/>
      <c r="M115" s="729">
        <f t="shared" si="3"/>
        <v>0</v>
      </c>
      <c r="N115" s="734"/>
      <c r="O115" s="729">
        <f t="shared" si="4"/>
        <v>0</v>
      </c>
      <c r="P115" s="729">
        <f t="shared" si="5"/>
        <v>0</v>
      </c>
      <c r="Q115" s="677"/>
    </row>
    <row r="116" spans="2:17">
      <c r="B116" s="334"/>
      <c r="C116" s="725">
        <f>IF(D96="","-",+C115+1)</f>
        <v>2022</v>
      </c>
      <c r="D116" s="676">
        <f t="shared" si="6"/>
        <v>10634099.593220327</v>
      </c>
      <c r="E116" s="732">
        <f t="shared" si="7"/>
        <v>233716.4745762712</v>
      </c>
      <c r="F116" s="732">
        <f t="shared" si="0"/>
        <v>10400383.118644055</v>
      </c>
      <c r="G116" s="676">
        <f t="shared" si="1"/>
        <v>10517241.355932191</v>
      </c>
      <c r="H116" s="726">
        <f>+J97*G116+E116</f>
        <v>1368593.9117303463</v>
      </c>
      <c r="I116" s="733">
        <f>+J98*G116+E116</f>
        <v>1368593.9117303463</v>
      </c>
      <c r="J116" s="729">
        <f t="shared" si="2"/>
        <v>0</v>
      </c>
      <c r="K116" s="729"/>
      <c r="L116" s="734"/>
      <c r="M116" s="729">
        <f t="shared" si="3"/>
        <v>0</v>
      </c>
      <c r="N116" s="734"/>
      <c r="O116" s="729">
        <f t="shared" si="4"/>
        <v>0</v>
      </c>
      <c r="P116" s="729">
        <f t="shared" si="5"/>
        <v>0</v>
      </c>
      <c r="Q116" s="677"/>
    </row>
    <row r="117" spans="2:17">
      <c r="B117" s="334"/>
      <c r="C117" s="725">
        <f>IF(D96="","-",+C116+1)</f>
        <v>2023</v>
      </c>
      <c r="D117" s="676">
        <f t="shared" si="6"/>
        <v>10400383.118644055</v>
      </c>
      <c r="E117" s="732">
        <f t="shared" si="7"/>
        <v>233716.4745762712</v>
      </c>
      <c r="F117" s="732">
        <f t="shared" si="0"/>
        <v>10166666.644067783</v>
      </c>
      <c r="G117" s="676">
        <f t="shared" si="1"/>
        <v>10283524.881355919</v>
      </c>
      <c r="H117" s="726">
        <f>+J97*G117+E117</f>
        <v>1343374.4131269224</v>
      </c>
      <c r="I117" s="733">
        <f>+J98*G117+E117</f>
        <v>1343374.4131269224</v>
      </c>
      <c r="J117" s="729">
        <f t="shared" si="2"/>
        <v>0</v>
      </c>
      <c r="K117" s="729"/>
      <c r="L117" s="734"/>
      <c r="M117" s="729">
        <f t="shared" si="3"/>
        <v>0</v>
      </c>
      <c r="N117" s="734"/>
      <c r="O117" s="729">
        <f t="shared" si="4"/>
        <v>0</v>
      </c>
      <c r="P117" s="729">
        <f t="shared" si="5"/>
        <v>0</v>
      </c>
      <c r="Q117" s="677"/>
    </row>
    <row r="118" spans="2:17">
      <c r="B118" s="334"/>
      <c r="C118" s="725">
        <f>IF(D96="","-",+C117+1)</f>
        <v>2024</v>
      </c>
      <c r="D118" s="676">
        <f t="shared" si="6"/>
        <v>10166666.644067783</v>
      </c>
      <c r="E118" s="732">
        <f t="shared" si="7"/>
        <v>233716.4745762712</v>
      </c>
      <c r="F118" s="732">
        <f t="shared" si="0"/>
        <v>9932950.1694915108</v>
      </c>
      <c r="G118" s="676">
        <f t="shared" si="1"/>
        <v>10049808.406779647</v>
      </c>
      <c r="H118" s="726">
        <f>+J97*G118+E118</f>
        <v>1318154.9145234984</v>
      </c>
      <c r="I118" s="733">
        <f>+J98*G118+E118</f>
        <v>1318154.9145234984</v>
      </c>
      <c r="J118" s="729">
        <f t="shared" si="2"/>
        <v>0</v>
      </c>
      <c r="K118" s="729"/>
      <c r="L118" s="734"/>
      <c r="M118" s="729">
        <f t="shared" si="3"/>
        <v>0</v>
      </c>
      <c r="N118" s="734"/>
      <c r="O118" s="729">
        <f t="shared" si="4"/>
        <v>0</v>
      </c>
      <c r="P118" s="729">
        <f t="shared" si="5"/>
        <v>0</v>
      </c>
      <c r="Q118" s="677"/>
    </row>
    <row r="119" spans="2:17">
      <c r="B119" s="334"/>
      <c r="C119" s="725">
        <f>IF(D96="","-",+C118+1)</f>
        <v>2025</v>
      </c>
      <c r="D119" s="676">
        <f t="shared" si="6"/>
        <v>9932950.1694915108</v>
      </c>
      <c r="E119" s="732">
        <f t="shared" si="7"/>
        <v>233716.4745762712</v>
      </c>
      <c r="F119" s="732">
        <f t="shared" si="0"/>
        <v>9699233.6949152388</v>
      </c>
      <c r="G119" s="676">
        <f t="shared" si="1"/>
        <v>9816091.9322033748</v>
      </c>
      <c r="H119" s="726">
        <f>+J97*G119+E119</f>
        <v>1292935.4159200743</v>
      </c>
      <c r="I119" s="733">
        <f>+J98*G119+E119</f>
        <v>1292935.4159200743</v>
      </c>
      <c r="J119" s="729">
        <f t="shared" si="2"/>
        <v>0</v>
      </c>
      <c r="K119" s="729"/>
      <c r="L119" s="734"/>
      <c r="M119" s="729">
        <f t="shared" si="3"/>
        <v>0</v>
      </c>
      <c r="N119" s="734"/>
      <c r="O119" s="729">
        <f t="shared" si="4"/>
        <v>0</v>
      </c>
      <c r="P119" s="729">
        <f t="shared" si="5"/>
        <v>0</v>
      </c>
      <c r="Q119" s="677"/>
    </row>
    <row r="120" spans="2:17">
      <c r="B120" s="334"/>
      <c r="C120" s="725">
        <f>IF(D96="","-",+C119+1)</f>
        <v>2026</v>
      </c>
      <c r="D120" s="676">
        <f t="shared" si="6"/>
        <v>9699233.6949152388</v>
      </c>
      <c r="E120" s="732">
        <f t="shared" si="7"/>
        <v>233716.4745762712</v>
      </c>
      <c r="F120" s="732">
        <f t="shared" si="0"/>
        <v>9465517.2203389667</v>
      </c>
      <c r="G120" s="676">
        <f t="shared" si="1"/>
        <v>9582375.4576271027</v>
      </c>
      <c r="H120" s="726">
        <f>+J97*G120+E120</f>
        <v>1267715.9173166503</v>
      </c>
      <c r="I120" s="733">
        <f>+J98*G120+E120</f>
        <v>1267715.9173166503</v>
      </c>
      <c r="J120" s="729">
        <f t="shared" si="2"/>
        <v>0</v>
      </c>
      <c r="K120" s="729"/>
      <c r="L120" s="734"/>
      <c r="M120" s="729">
        <f t="shared" si="3"/>
        <v>0</v>
      </c>
      <c r="N120" s="734"/>
      <c r="O120" s="729">
        <f t="shared" si="4"/>
        <v>0</v>
      </c>
      <c r="P120" s="729">
        <f t="shared" si="5"/>
        <v>0</v>
      </c>
      <c r="Q120" s="677"/>
    </row>
    <row r="121" spans="2:17">
      <c r="B121" s="334"/>
      <c r="C121" s="725">
        <f>IF(D96="","-",+C120+1)</f>
        <v>2027</v>
      </c>
      <c r="D121" s="676">
        <f t="shared" si="6"/>
        <v>9465517.2203389667</v>
      </c>
      <c r="E121" s="732">
        <f t="shared" si="7"/>
        <v>233716.4745762712</v>
      </c>
      <c r="F121" s="732">
        <f t="shared" si="0"/>
        <v>9231800.7457626946</v>
      </c>
      <c r="G121" s="676">
        <f t="shared" si="1"/>
        <v>9348658.9830508307</v>
      </c>
      <c r="H121" s="726">
        <f>+J97*G121+E121</f>
        <v>1242496.4187132262</v>
      </c>
      <c r="I121" s="733">
        <f>+J98*G121+E121</f>
        <v>1242496.4187132262</v>
      </c>
      <c r="J121" s="729">
        <f t="shared" si="2"/>
        <v>0</v>
      </c>
      <c r="K121" s="729"/>
      <c r="L121" s="734"/>
      <c r="M121" s="729">
        <f t="shared" si="3"/>
        <v>0</v>
      </c>
      <c r="N121" s="734"/>
      <c r="O121" s="729">
        <f t="shared" si="4"/>
        <v>0</v>
      </c>
      <c r="P121" s="729">
        <f t="shared" si="5"/>
        <v>0</v>
      </c>
      <c r="Q121" s="677"/>
    </row>
    <row r="122" spans="2:17">
      <c r="B122" s="334"/>
      <c r="C122" s="725">
        <f>IF(D96="","-",+C121+1)</f>
        <v>2028</v>
      </c>
      <c r="D122" s="676">
        <f t="shared" si="6"/>
        <v>9231800.7457626946</v>
      </c>
      <c r="E122" s="732">
        <f t="shared" si="7"/>
        <v>233716.4745762712</v>
      </c>
      <c r="F122" s="732">
        <f t="shared" si="0"/>
        <v>8998084.2711864226</v>
      </c>
      <c r="G122" s="676">
        <f t="shared" si="1"/>
        <v>9114942.5084745586</v>
      </c>
      <c r="H122" s="726">
        <f>+J97*G122+E122</f>
        <v>1217276.9201098024</v>
      </c>
      <c r="I122" s="733">
        <f>+J98*G122+E122</f>
        <v>1217276.9201098024</v>
      </c>
      <c r="J122" s="729">
        <f t="shared" si="2"/>
        <v>0</v>
      </c>
      <c r="K122" s="729"/>
      <c r="L122" s="734"/>
      <c r="M122" s="729">
        <f t="shared" si="3"/>
        <v>0</v>
      </c>
      <c r="N122" s="734"/>
      <c r="O122" s="729">
        <f t="shared" si="4"/>
        <v>0</v>
      </c>
      <c r="P122" s="729">
        <f t="shared" si="5"/>
        <v>0</v>
      </c>
      <c r="Q122" s="677"/>
    </row>
    <row r="123" spans="2:17">
      <c r="B123" s="334"/>
      <c r="C123" s="725">
        <f>IF(D96="","-",+C122+1)</f>
        <v>2029</v>
      </c>
      <c r="D123" s="676">
        <f t="shared" si="6"/>
        <v>8998084.2711864226</v>
      </c>
      <c r="E123" s="732">
        <f t="shared" si="7"/>
        <v>233716.4745762712</v>
      </c>
      <c r="F123" s="732">
        <f t="shared" si="0"/>
        <v>8764367.7966101505</v>
      </c>
      <c r="G123" s="676">
        <f t="shared" si="1"/>
        <v>8881226.0338982865</v>
      </c>
      <c r="H123" s="726">
        <f>+J97*G123+E123</f>
        <v>1192057.4215063783</v>
      </c>
      <c r="I123" s="733">
        <f>+J98*G123+E123</f>
        <v>1192057.4215063783</v>
      </c>
      <c r="J123" s="729">
        <f t="shared" si="2"/>
        <v>0</v>
      </c>
      <c r="K123" s="729"/>
      <c r="L123" s="734"/>
      <c r="M123" s="729">
        <f t="shared" si="3"/>
        <v>0</v>
      </c>
      <c r="N123" s="734"/>
      <c r="O123" s="729">
        <f t="shared" si="4"/>
        <v>0</v>
      </c>
      <c r="P123" s="729">
        <f t="shared" si="5"/>
        <v>0</v>
      </c>
      <c r="Q123" s="677"/>
    </row>
    <row r="124" spans="2:17">
      <c r="B124" s="334"/>
      <c r="C124" s="725">
        <f>IF(D96="","-",+C123+1)</f>
        <v>2030</v>
      </c>
      <c r="D124" s="676">
        <f t="shared" si="6"/>
        <v>8764367.7966101505</v>
      </c>
      <c r="E124" s="732">
        <f t="shared" si="7"/>
        <v>233716.4745762712</v>
      </c>
      <c r="F124" s="732">
        <f t="shared" si="0"/>
        <v>8530651.3220338784</v>
      </c>
      <c r="G124" s="676">
        <f t="shared" si="1"/>
        <v>8647509.5593220145</v>
      </c>
      <c r="H124" s="726">
        <f>+J97*G124+E124</f>
        <v>1166837.9229029543</v>
      </c>
      <c r="I124" s="733">
        <f>+J98*G124+E124</f>
        <v>1166837.9229029543</v>
      </c>
      <c r="J124" s="729">
        <f t="shared" si="2"/>
        <v>0</v>
      </c>
      <c r="K124" s="729"/>
      <c r="L124" s="734"/>
      <c r="M124" s="729">
        <f t="shared" si="3"/>
        <v>0</v>
      </c>
      <c r="N124" s="734"/>
      <c r="O124" s="729">
        <f t="shared" si="4"/>
        <v>0</v>
      </c>
      <c r="P124" s="729">
        <f t="shared" si="5"/>
        <v>0</v>
      </c>
      <c r="Q124" s="677"/>
    </row>
    <row r="125" spans="2:17">
      <c r="B125" s="334"/>
      <c r="C125" s="725">
        <f>IF(D96="","-",+C124+1)</f>
        <v>2031</v>
      </c>
      <c r="D125" s="676">
        <f t="shared" si="6"/>
        <v>8530651.3220338784</v>
      </c>
      <c r="E125" s="732">
        <f t="shared" si="7"/>
        <v>233716.4745762712</v>
      </c>
      <c r="F125" s="732">
        <f t="shared" si="0"/>
        <v>8296934.8474576073</v>
      </c>
      <c r="G125" s="676">
        <f t="shared" si="1"/>
        <v>8413793.0847457424</v>
      </c>
      <c r="H125" s="726">
        <f>+J97*G125+E125</f>
        <v>1141618.4242995302</v>
      </c>
      <c r="I125" s="733">
        <f>+J98*G125+E125</f>
        <v>1141618.4242995302</v>
      </c>
      <c r="J125" s="729">
        <f t="shared" si="2"/>
        <v>0</v>
      </c>
      <c r="K125" s="729"/>
      <c r="L125" s="734"/>
      <c r="M125" s="729">
        <f t="shared" si="3"/>
        <v>0</v>
      </c>
      <c r="N125" s="734"/>
      <c r="O125" s="729">
        <f t="shared" si="4"/>
        <v>0</v>
      </c>
      <c r="P125" s="729">
        <f t="shared" si="5"/>
        <v>0</v>
      </c>
      <c r="Q125" s="677"/>
    </row>
    <row r="126" spans="2:17">
      <c r="B126" s="334"/>
      <c r="C126" s="725">
        <f>IF(D96="","-",+C125+1)</f>
        <v>2032</v>
      </c>
      <c r="D126" s="676">
        <f t="shared" si="6"/>
        <v>8296934.8474576073</v>
      </c>
      <c r="E126" s="732">
        <f t="shared" si="7"/>
        <v>233716.4745762712</v>
      </c>
      <c r="F126" s="732">
        <f t="shared" si="0"/>
        <v>8063218.3728813361</v>
      </c>
      <c r="G126" s="676">
        <f t="shared" si="1"/>
        <v>8180076.6101694722</v>
      </c>
      <c r="H126" s="726">
        <f>+J97*G126+E126</f>
        <v>1116398.9256961064</v>
      </c>
      <c r="I126" s="733">
        <f>+J98*G126+E126</f>
        <v>1116398.9256961064</v>
      </c>
      <c r="J126" s="729">
        <f t="shared" si="2"/>
        <v>0</v>
      </c>
      <c r="K126" s="729"/>
      <c r="L126" s="734"/>
      <c r="M126" s="729">
        <f t="shared" si="3"/>
        <v>0</v>
      </c>
      <c r="N126" s="734"/>
      <c r="O126" s="729">
        <f t="shared" si="4"/>
        <v>0</v>
      </c>
      <c r="P126" s="729">
        <f t="shared" si="5"/>
        <v>0</v>
      </c>
      <c r="Q126" s="677"/>
    </row>
    <row r="127" spans="2:17">
      <c r="B127" s="334"/>
      <c r="C127" s="725">
        <f>IF(D96="","-",+C126+1)</f>
        <v>2033</v>
      </c>
      <c r="D127" s="676">
        <f t="shared" si="6"/>
        <v>8063218.3728813361</v>
      </c>
      <c r="E127" s="732">
        <f t="shared" si="7"/>
        <v>233716.4745762712</v>
      </c>
      <c r="F127" s="732">
        <f t="shared" si="0"/>
        <v>7829501.898305065</v>
      </c>
      <c r="G127" s="676">
        <f t="shared" si="1"/>
        <v>7946360.1355932001</v>
      </c>
      <c r="H127" s="726">
        <f>+J97*G127+E127</f>
        <v>1091179.4270926823</v>
      </c>
      <c r="I127" s="733">
        <f>+J98*G127+E127</f>
        <v>1091179.4270926823</v>
      </c>
      <c r="J127" s="729">
        <f t="shared" si="2"/>
        <v>0</v>
      </c>
      <c r="K127" s="729"/>
      <c r="L127" s="734"/>
      <c r="M127" s="729">
        <f t="shared" si="3"/>
        <v>0</v>
      </c>
      <c r="N127" s="734"/>
      <c r="O127" s="729">
        <f t="shared" si="4"/>
        <v>0</v>
      </c>
      <c r="P127" s="729">
        <f t="shared" si="5"/>
        <v>0</v>
      </c>
      <c r="Q127" s="677"/>
    </row>
    <row r="128" spans="2:17">
      <c r="B128" s="334"/>
      <c r="C128" s="725">
        <f>IF(D96="","-",+C127+1)</f>
        <v>2034</v>
      </c>
      <c r="D128" s="676">
        <f t="shared" si="6"/>
        <v>7829501.898305065</v>
      </c>
      <c r="E128" s="732">
        <f t="shared" si="7"/>
        <v>233716.4745762712</v>
      </c>
      <c r="F128" s="732">
        <f t="shared" si="0"/>
        <v>7595785.4237287939</v>
      </c>
      <c r="G128" s="676">
        <f t="shared" si="1"/>
        <v>7712643.6610169299</v>
      </c>
      <c r="H128" s="726">
        <f>+J97*G128+E128</f>
        <v>1065959.9284892585</v>
      </c>
      <c r="I128" s="733">
        <f>+J98*G128+E128</f>
        <v>1065959.9284892585</v>
      </c>
      <c r="J128" s="729">
        <f t="shared" si="2"/>
        <v>0</v>
      </c>
      <c r="K128" s="729"/>
      <c r="L128" s="734"/>
      <c r="M128" s="729">
        <f t="shared" si="3"/>
        <v>0</v>
      </c>
      <c r="N128" s="734"/>
      <c r="O128" s="729">
        <f t="shared" si="4"/>
        <v>0</v>
      </c>
      <c r="P128" s="729">
        <f t="shared" si="5"/>
        <v>0</v>
      </c>
      <c r="Q128" s="677"/>
    </row>
    <row r="129" spans="2:17">
      <c r="B129" s="334"/>
      <c r="C129" s="725">
        <f>IF(D96="","-",+C128+1)</f>
        <v>2035</v>
      </c>
      <c r="D129" s="676">
        <f t="shared" si="6"/>
        <v>7595785.4237287939</v>
      </c>
      <c r="E129" s="732">
        <f t="shared" si="7"/>
        <v>233716.4745762712</v>
      </c>
      <c r="F129" s="732">
        <f t="shared" si="0"/>
        <v>7362068.9491525227</v>
      </c>
      <c r="G129" s="676">
        <f t="shared" si="1"/>
        <v>7478927.1864406578</v>
      </c>
      <c r="H129" s="726">
        <f>+J97*G129+E129</f>
        <v>1040740.4298858347</v>
      </c>
      <c r="I129" s="733">
        <f>+J98*G129+E129</f>
        <v>1040740.4298858347</v>
      </c>
      <c r="J129" s="729">
        <f t="shared" si="2"/>
        <v>0</v>
      </c>
      <c r="K129" s="729"/>
      <c r="L129" s="734"/>
      <c r="M129" s="729">
        <f t="shared" si="3"/>
        <v>0</v>
      </c>
      <c r="N129" s="734"/>
      <c r="O129" s="729">
        <f t="shared" si="4"/>
        <v>0</v>
      </c>
      <c r="P129" s="729">
        <f t="shared" si="5"/>
        <v>0</v>
      </c>
      <c r="Q129" s="677"/>
    </row>
    <row r="130" spans="2:17">
      <c r="B130" s="334"/>
      <c r="C130" s="725">
        <f>IF(D96="","-",+C129+1)</f>
        <v>2036</v>
      </c>
      <c r="D130" s="676">
        <f t="shared" si="6"/>
        <v>7362068.9491525227</v>
      </c>
      <c r="E130" s="732">
        <f t="shared" si="7"/>
        <v>233716.4745762712</v>
      </c>
      <c r="F130" s="732">
        <f t="shared" si="0"/>
        <v>7128352.4745762516</v>
      </c>
      <c r="G130" s="676">
        <f t="shared" si="1"/>
        <v>7245210.7118643876</v>
      </c>
      <c r="H130" s="726">
        <f>+J97*G130+E130</f>
        <v>1015520.9312824109</v>
      </c>
      <c r="I130" s="733">
        <f>+J98*G130+E130</f>
        <v>1015520.9312824109</v>
      </c>
      <c r="J130" s="729">
        <f t="shared" si="2"/>
        <v>0</v>
      </c>
      <c r="K130" s="729"/>
      <c r="L130" s="734"/>
      <c r="M130" s="729">
        <f t="shared" si="3"/>
        <v>0</v>
      </c>
      <c r="N130" s="734"/>
      <c r="O130" s="729">
        <f t="shared" si="4"/>
        <v>0</v>
      </c>
      <c r="P130" s="729">
        <f t="shared" si="5"/>
        <v>0</v>
      </c>
      <c r="Q130" s="677"/>
    </row>
    <row r="131" spans="2:17">
      <c r="B131" s="334"/>
      <c r="C131" s="725">
        <f>IF(D96="","-",+C130+1)</f>
        <v>2037</v>
      </c>
      <c r="D131" s="676">
        <f t="shared" si="6"/>
        <v>7128352.4745762516</v>
      </c>
      <c r="E131" s="732">
        <f t="shared" si="7"/>
        <v>233716.4745762712</v>
      </c>
      <c r="F131" s="732">
        <f t="shared" si="0"/>
        <v>6894635.9999999804</v>
      </c>
      <c r="G131" s="676">
        <f t="shared" si="1"/>
        <v>7011494.2372881155</v>
      </c>
      <c r="H131" s="726">
        <f>+J97*G131+E131</f>
        <v>990301.43267898681</v>
      </c>
      <c r="I131" s="733">
        <f>+J98*G131+E131</f>
        <v>990301.43267898681</v>
      </c>
      <c r="J131" s="729">
        <f t="shared" si="2"/>
        <v>0</v>
      </c>
      <c r="K131" s="729"/>
      <c r="L131" s="734"/>
      <c r="M131" s="729">
        <f t="shared" si="3"/>
        <v>0</v>
      </c>
      <c r="N131" s="734"/>
      <c r="O131" s="729">
        <f t="shared" si="4"/>
        <v>0</v>
      </c>
      <c r="P131" s="729">
        <f t="shared" si="5"/>
        <v>0</v>
      </c>
      <c r="Q131" s="677"/>
    </row>
    <row r="132" spans="2:17">
      <c r="B132" s="334"/>
      <c r="C132" s="725">
        <f>IF(D96="","-",+C131+1)</f>
        <v>2038</v>
      </c>
      <c r="D132" s="676">
        <f t="shared" si="6"/>
        <v>6894635.9999999804</v>
      </c>
      <c r="E132" s="732">
        <f t="shared" si="7"/>
        <v>233716.4745762712</v>
      </c>
      <c r="F132" s="732">
        <f t="shared" si="0"/>
        <v>6660919.5254237093</v>
      </c>
      <c r="G132" s="676">
        <f t="shared" si="1"/>
        <v>6777777.7627118453</v>
      </c>
      <c r="H132" s="726">
        <f>+J97*G132+E132</f>
        <v>965081.93407556298</v>
      </c>
      <c r="I132" s="733">
        <f>+J98*G132+E132</f>
        <v>965081.93407556298</v>
      </c>
      <c r="J132" s="729">
        <f t="shared" si="2"/>
        <v>0</v>
      </c>
      <c r="K132" s="729"/>
      <c r="L132" s="734"/>
      <c r="M132" s="729">
        <f t="shared" si="3"/>
        <v>0</v>
      </c>
      <c r="N132" s="734"/>
      <c r="O132" s="729">
        <f t="shared" si="4"/>
        <v>0</v>
      </c>
      <c r="P132" s="729">
        <f t="shared" si="5"/>
        <v>0</v>
      </c>
      <c r="Q132" s="677"/>
    </row>
    <row r="133" spans="2:17">
      <c r="B133" s="334"/>
      <c r="C133" s="725">
        <f>IF(D96="","-",+C132+1)</f>
        <v>2039</v>
      </c>
      <c r="D133" s="676">
        <f t="shared" si="6"/>
        <v>6660919.5254237093</v>
      </c>
      <c r="E133" s="732">
        <f t="shared" si="7"/>
        <v>233716.4745762712</v>
      </c>
      <c r="F133" s="732">
        <f t="shared" si="0"/>
        <v>6427203.0508474382</v>
      </c>
      <c r="G133" s="676">
        <f t="shared" si="1"/>
        <v>6544061.2881355733</v>
      </c>
      <c r="H133" s="726">
        <f>+J97*G133+E133</f>
        <v>939862.43547213892</v>
      </c>
      <c r="I133" s="733">
        <f>+J98*G133+E133</f>
        <v>939862.43547213892</v>
      </c>
      <c r="J133" s="729">
        <f t="shared" si="2"/>
        <v>0</v>
      </c>
      <c r="K133" s="729"/>
      <c r="L133" s="734"/>
      <c r="M133" s="729">
        <f t="shared" si="3"/>
        <v>0</v>
      </c>
      <c r="N133" s="734"/>
      <c r="O133" s="729">
        <f t="shared" si="4"/>
        <v>0</v>
      </c>
      <c r="P133" s="729">
        <f t="shared" si="5"/>
        <v>0</v>
      </c>
      <c r="Q133" s="677"/>
    </row>
    <row r="134" spans="2:17">
      <c r="B134" s="334"/>
      <c r="C134" s="725">
        <f>IF(D96="","-",+C133+1)</f>
        <v>2040</v>
      </c>
      <c r="D134" s="676">
        <f t="shared" si="6"/>
        <v>6427203.0508474382</v>
      </c>
      <c r="E134" s="732">
        <f t="shared" si="7"/>
        <v>233716.4745762712</v>
      </c>
      <c r="F134" s="732">
        <f t="shared" ref="F134:F161" si="8">+D134-E134</f>
        <v>6193486.576271167</v>
      </c>
      <c r="G134" s="676">
        <f t="shared" ref="G134:G161" si="9">+(D134+F134)/2</f>
        <v>6310344.8135593031</v>
      </c>
      <c r="H134" s="726">
        <f>+J97*G134+E134</f>
        <v>914642.9368687151</v>
      </c>
      <c r="I134" s="733">
        <f>+J98*G134+E134</f>
        <v>914642.9368687151</v>
      </c>
      <c r="J134" s="729">
        <f t="shared" ref="J134:J161" si="10">+I134-H134</f>
        <v>0</v>
      </c>
      <c r="K134" s="729"/>
      <c r="L134" s="734"/>
      <c r="M134" s="729">
        <f t="shared" ref="M134:M161" si="11">IF(L134&lt;&gt;0,+H134-L134,0)</f>
        <v>0</v>
      </c>
      <c r="N134" s="734"/>
      <c r="O134" s="729">
        <f t="shared" ref="O134:O161" si="12">IF(N134&lt;&gt;0,+I134-N134,0)</f>
        <v>0</v>
      </c>
      <c r="P134" s="729">
        <f t="shared" ref="P134:P161" si="13">+O134-M134</f>
        <v>0</v>
      </c>
      <c r="Q134" s="677"/>
    </row>
    <row r="135" spans="2:17">
      <c r="B135" s="334"/>
      <c r="C135" s="725">
        <f>IF(D96="","-",+C134+1)</f>
        <v>2041</v>
      </c>
      <c r="D135" s="676">
        <f t="shared" ref="D135:D161" si="14">F134</f>
        <v>6193486.576271167</v>
      </c>
      <c r="E135" s="732">
        <f t="shared" ref="E135:E161" si="15">IF(D135&gt;$J$99,$J$99,D135)</f>
        <v>233716.4745762712</v>
      </c>
      <c r="F135" s="732">
        <f t="shared" si="8"/>
        <v>5959770.1016948959</v>
      </c>
      <c r="G135" s="676">
        <f t="shared" si="9"/>
        <v>6076628.338983031</v>
      </c>
      <c r="H135" s="726">
        <f>+J97*G135+E135</f>
        <v>889423.43826529104</v>
      </c>
      <c r="I135" s="733">
        <f>+J98*G135+E135</f>
        <v>889423.43826529104</v>
      </c>
      <c r="J135" s="729">
        <f t="shared" si="10"/>
        <v>0</v>
      </c>
      <c r="K135" s="729"/>
      <c r="L135" s="734"/>
      <c r="M135" s="729">
        <f t="shared" si="11"/>
        <v>0</v>
      </c>
      <c r="N135" s="734"/>
      <c r="O135" s="729">
        <f t="shared" si="12"/>
        <v>0</v>
      </c>
      <c r="P135" s="729">
        <f t="shared" si="13"/>
        <v>0</v>
      </c>
      <c r="Q135" s="677"/>
    </row>
    <row r="136" spans="2:17">
      <c r="B136" s="334"/>
      <c r="C136" s="725">
        <f>IF(D96="","-",+C135+1)</f>
        <v>2042</v>
      </c>
      <c r="D136" s="676">
        <f t="shared" si="14"/>
        <v>5959770.1016948959</v>
      </c>
      <c r="E136" s="732">
        <f t="shared" si="15"/>
        <v>233716.4745762712</v>
      </c>
      <c r="F136" s="732">
        <f t="shared" si="8"/>
        <v>5726053.6271186247</v>
      </c>
      <c r="G136" s="676">
        <f t="shared" si="9"/>
        <v>5842911.8644067608</v>
      </c>
      <c r="H136" s="726">
        <f>+J97*G136+E136</f>
        <v>864203.93966186722</v>
      </c>
      <c r="I136" s="733">
        <f>+J98*G136+E136</f>
        <v>864203.93966186722</v>
      </c>
      <c r="J136" s="729">
        <f t="shared" si="10"/>
        <v>0</v>
      </c>
      <c r="K136" s="729"/>
      <c r="L136" s="734"/>
      <c r="M136" s="729">
        <f t="shared" si="11"/>
        <v>0</v>
      </c>
      <c r="N136" s="734"/>
      <c r="O136" s="729">
        <f t="shared" si="12"/>
        <v>0</v>
      </c>
      <c r="P136" s="729">
        <f t="shared" si="13"/>
        <v>0</v>
      </c>
      <c r="Q136" s="677"/>
    </row>
    <row r="137" spans="2:17">
      <c r="B137" s="334"/>
      <c r="C137" s="725">
        <f>IF(D96="","-",+C136+1)</f>
        <v>2043</v>
      </c>
      <c r="D137" s="676">
        <f t="shared" si="14"/>
        <v>5726053.6271186247</v>
      </c>
      <c r="E137" s="732">
        <f t="shared" si="15"/>
        <v>233716.4745762712</v>
      </c>
      <c r="F137" s="732">
        <f t="shared" si="8"/>
        <v>5492337.1525423536</v>
      </c>
      <c r="G137" s="676">
        <f t="shared" si="9"/>
        <v>5609195.3898304887</v>
      </c>
      <c r="H137" s="726">
        <f>+J97*G137+E137</f>
        <v>838984.44105844316</v>
      </c>
      <c r="I137" s="733">
        <f>+J98*G137+E137</f>
        <v>838984.44105844316</v>
      </c>
      <c r="J137" s="729">
        <f t="shared" si="10"/>
        <v>0</v>
      </c>
      <c r="K137" s="729"/>
      <c r="L137" s="734"/>
      <c r="M137" s="729">
        <f t="shared" si="11"/>
        <v>0</v>
      </c>
      <c r="N137" s="734"/>
      <c r="O137" s="729">
        <f t="shared" si="12"/>
        <v>0</v>
      </c>
      <c r="P137" s="729">
        <f t="shared" si="13"/>
        <v>0</v>
      </c>
      <c r="Q137" s="677"/>
    </row>
    <row r="138" spans="2:17">
      <c r="B138" s="334"/>
      <c r="C138" s="725">
        <f>IF(D96="","-",+C137+1)</f>
        <v>2044</v>
      </c>
      <c r="D138" s="676">
        <f t="shared" si="14"/>
        <v>5492337.1525423536</v>
      </c>
      <c r="E138" s="732">
        <f t="shared" si="15"/>
        <v>233716.4745762712</v>
      </c>
      <c r="F138" s="732">
        <f t="shared" si="8"/>
        <v>5258620.6779660825</v>
      </c>
      <c r="G138" s="676">
        <f t="shared" si="9"/>
        <v>5375478.9152542185</v>
      </c>
      <c r="H138" s="726">
        <f>+J97*G138+E138</f>
        <v>813764.94245501934</v>
      </c>
      <c r="I138" s="733">
        <f>+J98*G138+E138</f>
        <v>813764.94245501934</v>
      </c>
      <c r="J138" s="729">
        <f t="shared" si="10"/>
        <v>0</v>
      </c>
      <c r="K138" s="729"/>
      <c r="L138" s="734"/>
      <c r="M138" s="729">
        <f t="shared" si="11"/>
        <v>0</v>
      </c>
      <c r="N138" s="734"/>
      <c r="O138" s="729">
        <f t="shared" si="12"/>
        <v>0</v>
      </c>
      <c r="P138" s="729">
        <f t="shared" si="13"/>
        <v>0</v>
      </c>
      <c r="Q138" s="677"/>
    </row>
    <row r="139" spans="2:17">
      <c r="B139" s="334"/>
      <c r="C139" s="725">
        <f>IF(D96="","-",+C138+1)</f>
        <v>2045</v>
      </c>
      <c r="D139" s="676">
        <f t="shared" si="14"/>
        <v>5258620.6779660825</v>
      </c>
      <c r="E139" s="732">
        <f t="shared" si="15"/>
        <v>233716.4745762712</v>
      </c>
      <c r="F139" s="732">
        <f t="shared" si="8"/>
        <v>5024904.2033898113</v>
      </c>
      <c r="G139" s="676">
        <f t="shared" si="9"/>
        <v>5141762.4406779464</v>
      </c>
      <c r="H139" s="726">
        <f>+J97*G139+E139</f>
        <v>788545.44385159528</v>
      </c>
      <c r="I139" s="733">
        <f>+J98*G139+E139</f>
        <v>788545.44385159528</v>
      </c>
      <c r="J139" s="729">
        <f t="shared" si="10"/>
        <v>0</v>
      </c>
      <c r="K139" s="729"/>
      <c r="L139" s="734"/>
      <c r="M139" s="729">
        <f t="shared" si="11"/>
        <v>0</v>
      </c>
      <c r="N139" s="734"/>
      <c r="O139" s="729">
        <f t="shared" si="12"/>
        <v>0</v>
      </c>
      <c r="P139" s="729">
        <f t="shared" si="13"/>
        <v>0</v>
      </c>
      <c r="Q139" s="677"/>
    </row>
    <row r="140" spans="2:17">
      <c r="B140" s="334"/>
      <c r="C140" s="725">
        <f>IF(D96="","-",+C139+1)</f>
        <v>2046</v>
      </c>
      <c r="D140" s="676">
        <f t="shared" si="14"/>
        <v>5024904.2033898113</v>
      </c>
      <c r="E140" s="732">
        <f t="shared" si="15"/>
        <v>233716.4745762712</v>
      </c>
      <c r="F140" s="732">
        <f t="shared" si="8"/>
        <v>4791187.7288135402</v>
      </c>
      <c r="G140" s="676">
        <f t="shared" si="9"/>
        <v>4908045.9661016762</v>
      </c>
      <c r="H140" s="726">
        <f>+J97*G140+E140</f>
        <v>763325.94524817169</v>
      </c>
      <c r="I140" s="733">
        <f>+J98*G140+E140</f>
        <v>763325.94524817169</v>
      </c>
      <c r="J140" s="729">
        <f t="shared" si="10"/>
        <v>0</v>
      </c>
      <c r="K140" s="729"/>
      <c r="L140" s="734"/>
      <c r="M140" s="729">
        <f t="shared" si="11"/>
        <v>0</v>
      </c>
      <c r="N140" s="734"/>
      <c r="O140" s="729">
        <f t="shared" si="12"/>
        <v>0</v>
      </c>
      <c r="P140" s="729">
        <f t="shared" si="13"/>
        <v>0</v>
      </c>
      <c r="Q140" s="677"/>
    </row>
    <row r="141" spans="2:17">
      <c r="B141" s="334"/>
      <c r="C141" s="725">
        <f>IF(D96="","-",+C140+1)</f>
        <v>2047</v>
      </c>
      <c r="D141" s="676">
        <f t="shared" si="14"/>
        <v>4791187.7288135402</v>
      </c>
      <c r="E141" s="732">
        <f t="shared" si="15"/>
        <v>233716.4745762712</v>
      </c>
      <c r="F141" s="732">
        <f t="shared" si="8"/>
        <v>4557471.2542372691</v>
      </c>
      <c r="G141" s="676">
        <f t="shared" si="9"/>
        <v>4674329.4915254042</v>
      </c>
      <c r="H141" s="726">
        <f>+J97*G141+E141</f>
        <v>738106.44664474763</v>
      </c>
      <c r="I141" s="733">
        <f>+J98*G141+E141</f>
        <v>738106.44664474763</v>
      </c>
      <c r="J141" s="729">
        <f t="shared" si="10"/>
        <v>0</v>
      </c>
      <c r="K141" s="729"/>
      <c r="L141" s="734"/>
      <c r="M141" s="729">
        <f t="shared" si="11"/>
        <v>0</v>
      </c>
      <c r="N141" s="734"/>
      <c r="O141" s="729">
        <f t="shared" si="12"/>
        <v>0</v>
      </c>
      <c r="P141" s="729">
        <f t="shared" si="13"/>
        <v>0</v>
      </c>
      <c r="Q141" s="677"/>
    </row>
    <row r="142" spans="2:17">
      <c r="B142" s="334"/>
      <c r="C142" s="725">
        <f>IF(D96="","-",+C141+1)</f>
        <v>2048</v>
      </c>
      <c r="D142" s="676">
        <f t="shared" si="14"/>
        <v>4557471.2542372691</v>
      </c>
      <c r="E142" s="732">
        <f t="shared" si="15"/>
        <v>233716.4745762712</v>
      </c>
      <c r="F142" s="732">
        <f t="shared" si="8"/>
        <v>4323754.7796609979</v>
      </c>
      <c r="G142" s="676">
        <f t="shared" si="9"/>
        <v>4440613.0169491339</v>
      </c>
      <c r="H142" s="726">
        <f>+J97*G142+E142</f>
        <v>712886.94804132381</v>
      </c>
      <c r="I142" s="733">
        <f>+J98*G142+E142</f>
        <v>712886.94804132381</v>
      </c>
      <c r="J142" s="729">
        <f t="shared" si="10"/>
        <v>0</v>
      </c>
      <c r="K142" s="729"/>
      <c r="L142" s="734"/>
      <c r="M142" s="729">
        <f t="shared" si="11"/>
        <v>0</v>
      </c>
      <c r="N142" s="734"/>
      <c r="O142" s="729">
        <f t="shared" si="12"/>
        <v>0</v>
      </c>
      <c r="P142" s="729">
        <f t="shared" si="13"/>
        <v>0</v>
      </c>
      <c r="Q142" s="677"/>
    </row>
    <row r="143" spans="2:17">
      <c r="B143" s="334"/>
      <c r="C143" s="725">
        <f>IF(D96="","-",+C142+1)</f>
        <v>2049</v>
      </c>
      <c r="D143" s="676">
        <f t="shared" si="14"/>
        <v>4323754.7796609979</v>
      </c>
      <c r="E143" s="732">
        <f t="shared" si="15"/>
        <v>233716.4745762712</v>
      </c>
      <c r="F143" s="732">
        <f t="shared" si="8"/>
        <v>4090038.3050847268</v>
      </c>
      <c r="G143" s="676">
        <f t="shared" si="9"/>
        <v>4206896.5423728619</v>
      </c>
      <c r="H143" s="726">
        <f>+J97*G143+E143</f>
        <v>687667.44943789975</v>
      </c>
      <c r="I143" s="733">
        <f>+J98*G143+E143</f>
        <v>687667.44943789975</v>
      </c>
      <c r="J143" s="729">
        <f t="shared" si="10"/>
        <v>0</v>
      </c>
      <c r="K143" s="729"/>
      <c r="L143" s="734"/>
      <c r="M143" s="729">
        <f t="shared" si="11"/>
        <v>0</v>
      </c>
      <c r="N143" s="734"/>
      <c r="O143" s="729">
        <f t="shared" si="12"/>
        <v>0</v>
      </c>
      <c r="P143" s="729">
        <f t="shared" si="13"/>
        <v>0</v>
      </c>
      <c r="Q143" s="677"/>
    </row>
    <row r="144" spans="2:17">
      <c r="B144" s="334"/>
      <c r="C144" s="725">
        <f>IF(D96="","-",+C143+1)</f>
        <v>2050</v>
      </c>
      <c r="D144" s="676">
        <f t="shared" si="14"/>
        <v>4090038.3050847268</v>
      </c>
      <c r="E144" s="732">
        <f t="shared" si="15"/>
        <v>233716.4745762712</v>
      </c>
      <c r="F144" s="732">
        <f t="shared" si="8"/>
        <v>3856321.8305084556</v>
      </c>
      <c r="G144" s="676">
        <f t="shared" si="9"/>
        <v>3973180.0677965912</v>
      </c>
      <c r="H144" s="726">
        <f>+J97*G144+E144</f>
        <v>662447.95083447592</v>
      </c>
      <c r="I144" s="733">
        <f>+J98*G144+E144</f>
        <v>662447.95083447592</v>
      </c>
      <c r="J144" s="729">
        <f t="shared" si="10"/>
        <v>0</v>
      </c>
      <c r="K144" s="729"/>
      <c r="L144" s="734"/>
      <c r="M144" s="729">
        <f t="shared" si="11"/>
        <v>0</v>
      </c>
      <c r="N144" s="734"/>
      <c r="O144" s="729">
        <f t="shared" si="12"/>
        <v>0</v>
      </c>
      <c r="P144" s="729">
        <f t="shared" si="13"/>
        <v>0</v>
      </c>
      <c r="Q144" s="677"/>
    </row>
    <row r="145" spans="2:17">
      <c r="B145" s="334"/>
      <c r="C145" s="725">
        <f>IF(D96="","-",+C144+1)</f>
        <v>2051</v>
      </c>
      <c r="D145" s="676">
        <f t="shared" si="14"/>
        <v>3856321.8305084556</v>
      </c>
      <c r="E145" s="732">
        <f t="shared" si="15"/>
        <v>233716.4745762712</v>
      </c>
      <c r="F145" s="732">
        <f t="shared" si="8"/>
        <v>3622605.3559321845</v>
      </c>
      <c r="G145" s="676">
        <f t="shared" si="9"/>
        <v>3739463.5932203201</v>
      </c>
      <c r="H145" s="726">
        <f>+J97*G145+E145</f>
        <v>637228.45223105187</v>
      </c>
      <c r="I145" s="733">
        <f>+J98*G145+E145</f>
        <v>637228.45223105187</v>
      </c>
      <c r="J145" s="729">
        <f t="shared" si="10"/>
        <v>0</v>
      </c>
      <c r="K145" s="729"/>
      <c r="L145" s="734"/>
      <c r="M145" s="729">
        <f t="shared" si="11"/>
        <v>0</v>
      </c>
      <c r="N145" s="734"/>
      <c r="O145" s="729">
        <f t="shared" si="12"/>
        <v>0</v>
      </c>
      <c r="P145" s="729">
        <f t="shared" si="13"/>
        <v>0</v>
      </c>
      <c r="Q145" s="677"/>
    </row>
    <row r="146" spans="2:17">
      <c r="B146" s="334"/>
      <c r="C146" s="725">
        <f>IF(D96="","-",+C145+1)</f>
        <v>2052</v>
      </c>
      <c r="D146" s="676">
        <f t="shared" si="14"/>
        <v>3622605.3559321845</v>
      </c>
      <c r="E146" s="732">
        <f t="shared" si="15"/>
        <v>233716.4745762712</v>
      </c>
      <c r="F146" s="732">
        <f t="shared" si="8"/>
        <v>3388888.8813559134</v>
      </c>
      <c r="G146" s="676">
        <f t="shared" si="9"/>
        <v>3505747.1186440489</v>
      </c>
      <c r="H146" s="726">
        <f>+J97*G146+E146</f>
        <v>612008.95362762804</v>
      </c>
      <c r="I146" s="733">
        <f>+J98*G146+E146</f>
        <v>612008.95362762804</v>
      </c>
      <c r="J146" s="729">
        <f t="shared" si="10"/>
        <v>0</v>
      </c>
      <c r="K146" s="729"/>
      <c r="L146" s="734"/>
      <c r="M146" s="729">
        <f t="shared" si="11"/>
        <v>0</v>
      </c>
      <c r="N146" s="734"/>
      <c r="O146" s="729">
        <f t="shared" si="12"/>
        <v>0</v>
      </c>
      <c r="P146" s="729">
        <f t="shared" si="13"/>
        <v>0</v>
      </c>
      <c r="Q146" s="677"/>
    </row>
    <row r="147" spans="2:17">
      <c r="B147" s="334"/>
      <c r="C147" s="725">
        <f>IF(D96="","-",+C146+1)</f>
        <v>2053</v>
      </c>
      <c r="D147" s="676">
        <f t="shared" si="14"/>
        <v>3388888.8813559134</v>
      </c>
      <c r="E147" s="732">
        <f t="shared" si="15"/>
        <v>233716.4745762712</v>
      </c>
      <c r="F147" s="732">
        <f t="shared" si="8"/>
        <v>3155172.4067796422</v>
      </c>
      <c r="G147" s="676">
        <f t="shared" si="9"/>
        <v>3272030.6440677778</v>
      </c>
      <c r="H147" s="726">
        <f>+J97*G147+E147</f>
        <v>586789.4550242041</v>
      </c>
      <c r="I147" s="733">
        <f>+J98*G147+E147</f>
        <v>586789.4550242041</v>
      </c>
      <c r="J147" s="729">
        <f t="shared" si="10"/>
        <v>0</v>
      </c>
      <c r="K147" s="729"/>
      <c r="L147" s="734"/>
      <c r="M147" s="729">
        <f t="shared" si="11"/>
        <v>0</v>
      </c>
      <c r="N147" s="734"/>
      <c r="O147" s="729">
        <f t="shared" si="12"/>
        <v>0</v>
      </c>
      <c r="P147" s="729">
        <f t="shared" si="13"/>
        <v>0</v>
      </c>
      <c r="Q147" s="677"/>
    </row>
    <row r="148" spans="2:17">
      <c r="B148" s="334"/>
      <c r="C148" s="725">
        <f>IF(D96="","-",+C147+1)</f>
        <v>2054</v>
      </c>
      <c r="D148" s="676">
        <f t="shared" si="14"/>
        <v>3155172.4067796422</v>
      </c>
      <c r="E148" s="732">
        <f t="shared" si="15"/>
        <v>233716.4745762712</v>
      </c>
      <c r="F148" s="732">
        <f t="shared" si="8"/>
        <v>2921455.9322033711</v>
      </c>
      <c r="G148" s="676">
        <f t="shared" si="9"/>
        <v>3038314.1694915066</v>
      </c>
      <c r="H148" s="726">
        <f>+J97*G148+E148</f>
        <v>561569.95642078016</v>
      </c>
      <c r="I148" s="733">
        <f>+J98*G148+E148</f>
        <v>561569.95642078016</v>
      </c>
      <c r="J148" s="729">
        <f t="shared" si="10"/>
        <v>0</v>
      </c>
      <c r="K148" s="729"/>
      <c r="L148" s="734"/>
      <c r="M148" s="729">
        <f t="shared" si="11"/>
        <v>0</v>
      </c>
      <c r="N148" s="734"/>
      <c r="O148" s="729">
        <f t="shared" si="12"/>
        <v>0</v>
      </c>
      <c r="P148" s="729">
        <f t="shared" si="13"/>
        <v>0</v>
      </c>
      <c r="Q148" s="677"/>
    </row>
    <row r="149" spans="2:17">
      <c r="B149" s="334"/>
      <c r="C149" s="725">
        <f>IF(D96="","-",+C148+1)</f>
        <v>2055</v>
      </c>
      <c r="D149" s="676">
        <f t="shared" si="14"/>
        <v>2921455.9322033711</v>
      </c>
      <c r="E149" s="732">
        <f t="shared" si="15"/>
        <v>233716.4745762712</v>
      </c>
      <c r="F149" s="732">
        <f t="shared" si="8"/>
        <v>2687739.4576270999</v>
      </c>
      <c r="G149" s="676">
        <f t="shared" si="9"/>
        <v>2804597.6949152355</v>
      </c>
      <c r="H149" s="726">
        <f>+J97*G149+E149</f>
        <v>536350.45781735633</v>
      </c>
      <c r="I149" s="733">
        <f>+J98*G149+E149</f>
        <v>536350.45781735633</v>
      </c>
      <c r="J149" s="729">
        <f t="shared" si="10"/>
        <v>0</v>
      </c>
      <c r="K149" s="729"/>
      <c r="L149" s="734"/>
      <c r="M149" s="729">
        <f t="shared" si="11"/>
        <v>0</v>
      </c>
      <c r="N149" s="734"/>
      <c r="O149" s="729">
        <f t="shared" si="12"/>
        <v>0</v>
      </c>
      <c r="P149" s="729">
        <f t="shared" si="13"/>
        <v>0</v>
      </c>
      <c r="Q149" s="677"/>
    </row>
    <row r="150" spans="2:17">
      <c r="B150" s="334"/>
      <c r="C150" s="725">
        <f>IF(D96="","-",+C149+1)</f>
        <v>2056</v>
      </c>
      <c r="D150" s="676">
        <f t="shared" si="14"/>
        <v>2687739.4576270999</v>
      </c>
      <c r="E150" s="732">
        <f t="shared" si="15"/>
        <v>233716.4745762712</v>
      </c>
      <c r="F150" s="732">
        <f t="shared" si="8"/>
        <v>2454022.9830508288</v>
      </c>
      <c r="G150" s="676">
        <f t="shared" si="9"/>
        <v>2570881.2203389644</v>
      </c>
      <c r="H150" s="726">
        <f>+J97*G150+E150</f>
        <v>511130.95921393234</v>
      </c>
      <c r="I150" s="733">
        <f>+J98*G150+E150</f>
        <v>511130.95921393234</v>
      </c>
      <c r="J150" s="729">
        <f t="shared" si="10"/>
        <v>0</v>
      </c>
      <c r="K150" s="729"/>
      <c r="L150" s="734"/>
      <c r="M150" s="729">
        <f t="shared" si="11"/>
        <v>0</v>
      </c>
      <c r="N150" s="734"/>
      <c r="O150" s="729">
        <f t="shared" si="12"/>
        <v>0</v>
      </c>
      <c r="P150" s="729">
        <f t="shared" si="13"/>
        <v>0</v>
      </c>
      <c r="Q150" s="677"/>
    </row>
    <row r="151" spans="2:17">
      <c r="B151" s="334"/>
      <c r="C151" s="725">
        <f>IF(D96="","-",+C150+1)</f>
        <v>2057</v>
      </c>
      <c r="D151" s="676">
        <f t="shared" si="14"/>
        <v>2454022.9830508288</v>
      </c>
      <c r="E151" s="732">
        <f t="shared" si="15"/>
        <v>233716.4745762712</v>
      </c>
      <c r="F151" s="732">
        <f t="shared" si="8"/>
        <v>2220306.5084745577</v>
      </c>
      <c r="G151" s="676">
        <f t="shared" si="9"/>
        <v>2337164.7457626932</v>
      </c>
      <c r="H151" s="726">
        <f>+J97*G151+E151</f>
        <v>485911.46061050845</v>
      </c>
      <c r="I151" s="733">
        <f>+J98*G151+E151</f>
        <v>485911.46061050845</v>
      </c>
      <c r="J151" s="729">
        <f t="shared" si="10"/>
        <v>0</v>
      </c>
      <c r="K151" s="729"/>
      <c r="L151" s="734"/>
      <c r="M151" s="729">
        <f t="shared" si="11"/>
        <v>0</v>
      </c>
      <c r="N151" s="734"/>
      <c r="O151" s="729">
        <f t="shared" si="12"/>
        <v>0</v>
      </c>
      <c r="P151" s="729">
        <f t="shared" si="13"/>
        <v>0</v>
      </c>
      <c r="Q151" s="677"/>
    </row>
    <row r="152" spans="2:17">
      <c r="B152" s="334"/>
      <c r="C152" s="725">
        <f>IF(D96="","-",+C151+1)</f>
        <v>2058</v>
      </c>
      <c r="D152" s="676">
        <f t="shared" si="14"/>
        <v>2220306.5084745577</v>
      </c>
      <c r="E152" s="732">
        <f t="shared" si="15"/>
        <v>233716.4745762712</v>
      </c>
      <c r="F152" s="732">
        <f t="shared" si="8"/>
        <v>1986590.0338982865</v>
      </c>
      <c r="G152" s="676">
        <f t="shared" si="9"/>
        <v>2103448.2711864221</v>
      </c>
      <c r="H152" s="726">
        <f>+J97*G152+E152</f>
        <v>460691.96200708451</v>
      </c>
      <c r="I152" s="733">
        <f>+J98*G152+E152</f>
        <v>460691.96200708451</v>
      </c>
      <c r="J152" s="729">
        <f t="shared" si="10"/>
        <v>0</v>
      </c>
      <c r="K152" s="729"/>
      <c r="L152" s="734"/>
      <c r="M152" s="729">
        <f t="shared" si="11"/>
        <v>0</v>
      </c>
      <c r="N152" s="734"/>
      <c r="O152" s="729">
        <f t="shared" si="12"/>
        <v>0</v>
      </c>
      <c r="P152" s="729">
        <f t="shared" si="13"/>
        <v>0</v>
      </c>
      <c r="Q152" s="677"/>
    </row>
    <row r="153" spans="2:17">
      <c r="B153" s="334"/>
      <c r="C153" s="725">
        <f>IF(D96="","-",+C152+1)</f>
        <v>2059</v>
      </c>
      <c r="D153" s="676">
        <f t="shared" si="14"/>
        <v>1986590.0338982865</v>
      </c>
      <c r="E153" s="732">
        <f t="shared" si="15"/>
        <v>233716.4745762712</v>
      </c>
      <c r="F153" s="732">
        <f t="shared" si="8"/>
        <v>1752873.5593220154</v>
      </c>
      <c r="G153" s="676">
        <f t="shared" si="9"/>
        <v>1869731.796610151</v>
      </c>
      <c r="H153" s="726">
        <f>+J97*G153+E153</f>
        <v>435472.46340366057</v>
      </c>
      <c r="I153" s="733">
        <f>+J98*G153+E153</f>
        <v>435472.46340366057</v>
      </c>
      <c r="J153" s="729">
        <f t="shared" si="10"/>
        <v>0</v>
      </c>
      <c r="K153" s="729"/>
      <c r="L153" s="734"/>
      <c r="M153" s="729">
        <f t="shared" si="11"/>
        <v>0</v>
      </c>
      <c r="N153" s="734"/>
      <c r="O153" s="729">
        <f t="shared" si="12"/>
        <v>0</v>
      </c>
      <c r="P153" s="729">
        <f t="shared" si="13"/>
        <v>0</v>
      </c>
      <c r="Q153" s="677"/>
    </row>
    <row r="154" spans="2:17">
      <c r="B154" s="334"/>
      <c r="C154" s="725">
        <f>IF(D96="","-",+C153+1)</f>
        <v>2060</v>
      </c>
      <c r="D154" s="676">
        <f t="shared" si="14"/>
        <v>1752873.5593220154</v>
      </c>
      <c r="E154" s="732">
        <f t="shared" si="15"/>
        <v>233716.4745762712</v>
      </c>
      <c r="F154" s="732">
        <f t="shared" si="8"/>
        <v>1519157.0847457442</v>
      </c>
      <c r="G154" s="676">
        <f t="shared" si="9"/>
        <v>1636015.3220338798</v>
      </c>
      <c r="H154" s="726">
        <f>+J97*G154+E154</f>
        <v>410252.96480023663</v>
      </c>
      <c r="I154" s="733">
        <f>+J98*G154+E154</f>
        <v>410252.96480023663</v>
      </c>
      <c r="J154" s="729">
        <f t="shared" si="10"/>
        <v>0</v>
      </c>
      <c r="K154" s="729"/>
      <c r="L154" s="734"/>
      <c r="M154" s="729">
        <f t="shared" si="11"/>
        <v>0</v>
      </c>
      <c r="N154" s="734"/>
      <c r="O154" s="729">
        <f t="shared" si="12"/>
        <v>0</v>
      </c>
      <c r="P154" s="729">
        <f t="shared" si="13"/>
        <v>0</v>
      </c>
      <c r="Q154" s="677"/>
    </row>
    <row r="155" spans="2:17">
      <c r="B155" s="334"/>
      <c r="C155" s="725">
        <f>IF(D96="","-",+C154+1)</f>
        <v>2061</v>
      </c>
      <c r="D155" s="676">
        <f t="shared" si="14"/>
        <v>1519157.0847457442</v>
      </c>
      <c r="E155" s="732">
        <f t="shared" si="15"/>
        <v>233716.4745762712</v>
      </c>
      <c r="F155" s="732">
        <f t="shared" si="8"/>
        <v>1285440.6101694731</v>
      </c>
      <c r="G155" s="676">
        <f t="shared" si="9"/>
        <v>1402298.8474576087</v>
      </c>
      <c r="H155" s="726">
        <f>+J97*G155+E155</f>
        <v>385033.46619681275</v>
      </c>
      <c r="I155" s="733">
        <f>+J98*G155+E155</f>
        <v>385033.46619681275</v>
      </c>
      <c r="J155" s="729">
        <f t="shared" si="10"/>
        <v>0</v>
      </c>
      <c r="K155" s="729"/>
      <c r="L155" s="734"/>
      <c r="M155" s="729">
        <f t="shared" si="11"/>
        <v>0</v>
      </c>
      <c r="N155" s="734"/>
      <c r="O155" s="729">
        <f t="shared" si="12"/>
        <v>0</v>
      </c>
      <c r="P155" s="729">
        <f t="shared" si="13"/>
        <v>0</v>
      </c>
      <c r="Q155" s="677"/>
    </row>
    <row r="156" spans="2:17">
      <c r="B156" s="334"/>
      <c r="C156" s="725">
        <f>IF(D96="","-",+C155+1)</f>
        <v>2062</v>
      </c>
      <c r="D156" s="676">
        <f t="shared" si="14"/>
        <v>1285440.6101694731</v>
      </c>
      <c r="E156" s="732">
        <f t="shared" si="15"/>
        <v>233716.4745762712</v>
      </c>
      <c r="F156" s="732">
        <f t="shared" si="8"/>
        <v>1051724.135593202</v>
      </c>
      <c r="G156" s="676">
        <f t="shared" si="9"/>
        <v>1168582.3728813375</v>
      </c>
      <c r="H156" s="726">
        <f>+J97*G156+E156</f>
        <v>359813.96759338886</v>
      </c>
      <c r="I156" s="733">
        <f>+J98*G156+E156</f>
        <v>359813.96759338886</v>
      </c>
      <c r="J156" s="729">
        <f t="shared" si="10"/>
        <v>0</v>
      </c>
      <c r="K156" s="729"/>
      <c r="L156" s="734"/>
      <c r="M156" s="729">
        <f t="shared" si="11"/>
        <v>0</v>
      </c>
      <c r="N156" s="734"/>
      <c r="O156" s="729">
        <f t="shared" si="12"/>
        <v>0</v>
      </c>
      <c r="P156" s="729">
        <f t="shared" si="13"/>
        <v>0</v>
      </c>
      <c r="Q156" s="677"/>
    </row>
    <row r="157" spans="2:17">
      <c r="B157" s="334"/>
      <c r="C157" s="725">
        <f>IF(D96="","-",+C156+1)</f>
        <v>2063</v>
      </c>
      <c r="D157" s="676">
        <f t="shared" si="14"/>
        <v>1051724.135593202</v>
      </c>
      <c r="E157" s="732">
        <f t="shared" si="15"/>
        <v>233716.4745762712</v>
      </c>
      <c r="F157" s="732">
        <f t="shared" si="8"/>
        <v>818007.66101693083</v>
      </c>
      <c r="G157" s="676">
        <f t="shared" si="9"/>
        <v>934865.8983050664</v>
      </c>
      <c r="H157" s="726">
        <f>+J97*G157+E157</f>
        <v>334594.46898996492</v>
      </c>
      <c r="I157" s="733">
        <f>+J98*G157+E157</f>
        <v>334594.46898996492</v>
      </c>
      <c r="J157" s="729">
        <f t="shared" si="10"/>
        <v>0</v>
      </c>
      <c r="K157" s="729"/>
      <c r="L157" s="734"/>
      <c r="M157" s="729">
        <f t="shared" si="11"/>
        <v>0</v>
      </c>
      <c r="N157" s="734"/>
      <c r="O157" s="729">
        <f t="shared" si="12"/>
        <v>0</v>
      </c>
      <c r="P157" s="729">
        <f t="shared" si="13"/>
        <v>0</v>
      </c>
      <c r="Q157" s="677"/>
    </row>
    <row r="158" spans="2:17">
      <c r="B158" s="334"/>
      <c r="C158" s="725">
        <f>IF(D96="","-",+C157+1)</f>
        <v>2064</v>
      </c>
      <c r="D158" s="676">
        <f t="shared" si="14"/>
        <v>818007.66101693083</v>
      </c>
      <c r="E158" s="732">
        <f t="shared" si="15"/>
        <v>233716.4745762712</v>
      </c>
      <c r="F158" s="732">
        <f t="shared" si="8"/>
        <v>584291.18644065969</v>
      </c>
      <c r="G158" s="676">
        <f t="shared" si="9"/>
        <v>701149.42372879526</v>
      </c>
      <c r="H158" s="726">
        <f>+J97*G158+E158</f>
        <v>309374.97038654098</v>
      </c>
      <c r="I158" s="733">
        <f>+J98*G158+E158</f>
        <v>309374.97038654098</v>
      </c>
      <c r="J158" s="729">
        <f t="shared" si="10"/>
        <v>0</v>
      </c>
      <c r="K158" s="729"/>
      <c r="L158" s="734"/>
      <c r="M158" s="729">
        <f t="shared" si="11"/>
        <v>0</v>
      </c>
      <c r="N158" s="734"/>
      <c r="O158" s="729">
        <f t="shared" si="12"/>
        <v>0</v>
      </c>
      <c r="P158" s="729">
        <f t="shared" si="13"/>
        <v>0</v>
      </c>
      <c r="Q158" s="677"/>
    </row>
    <row r="159" spans="2:17">
      <c r="B159" s="334"/>
      <c r="C159" s="725">
        <f>IF(D96="","-",+C158+1)</f>
        <v>2065</v>
      </c>
      <c r="D159" s="676">
        <f t="shared" si="14"/>
        <v>584291.18644065969</v>
      </c>
      <c r="E159" s="732">
        <f t="shared" si="15"/>
        <v>233716.4745762712</v>
      </c>
      <c r="F159" s="732">
        <f t="shared" si="8"/>
        <v>350574.71186438849</v>
      </c>
      <c r="G159" s="676">
        <f t="shared" si="9"/>
        <v>467432.94915252412</v>
      </c>
      <c r="H159" s="726">
        <f>+J97*G159+E159</f>
        <v>284155.47178311704</v>
      </c>
      <c r="I159" s="733">
        <f>+J98*G159+E159</f>
        <v>284155.47178311704</v>
      </c>
      <c r="J159" s="729">
        <f t="shared" si="10"/>
        <v>0</v>
      </c>
      <c r="K159" s="729"/>
      <c r="L159" s="734"/>
      <c r="M159" s="729">
        <f t="shared" si="11"/>
        <v>0</v>
      </c>
      <c r="N159" s="734"/>
      <c r="O159" s="729">
        <f t="shared" si="12"/>
        <v>0</v>
      </c>
      <c r="P159" s="729">
        <f t="shared" si="13"/>
        <v>0</v>
      </c>
      <c r="Q159" s="677"/>
    </row>
    <row r="160" spans="2:17">
      <c r="B160" s="334"/>
      <c r="C160" s="725">
        <f>IF(D96="","-",+C159+1)</f>
        <v>2066</v>
      </c>
      <c r="D160" s="676">
        <f t="shared" si="14"/>
        <v>350574.71186438849</v>
      </c>
      <c r="E160" s="732">
        <f t="shared" si="15"/>
        <v>233716.4745762712</v>
      </c>
      <c r="F160" s="732">
        <f t="shared" si="8"/>
        <v>116858.23728811729</v>
      </c>
      <c r="G160" s="676">
        <f t="shared" si="9"/>
        <v>233716.47457625289</v>
      </c>
      <c r="H160" s="726">
        <f>+J97*G160+E160</f>
        <v>258935.97317969316</v>
      </c>
      <c r="I160" s="733">
        <f>+J98*G160+E160</f>
        <v>258935.97317969316</v>
      </c>
      <c r="J160" s="729">
        <f t="shared" si="10"/>
        <v>0</v>
      </c>
      <c r="K160" s="729"/>
      <c r="L160" s="734"/>
      <c r="M160" s="729">
        <f t="shared" si="11"/>
        <v>0</v>
      </c>
      <c r="N160" s="734"/>
      <c r="O160" s="729">
        <f t="shared" si="12"/>
        <v>0</v>
      </c>
      <c r="P160" s="729">
        <f t="shared" si="13"/>
        <v>0</v>
      </c>
      <c r="Q160" s="677"/>
    </row>
    <row r="161" spans="1:17" ht="13.5" thickBot="1">
      <c r="B161" s="334"/>
      <c r="C161" s="737">
        <f>IF(D96="","-",+C160+1)</f>
        <v>2067</v>
      </c>
      <c r="D161" s="738">
        <f t="shared" si="14"/>
        <v>116858.23728811729</v>
      </c>
      <c r="E161" s="739">
        <f t="shared" si="15"/>
        <v>116858.23728811729</v>
      </c>
      <c r="F161" s="739">
        <f t="shared" si="8"/>
        <v>0</v>
      </c>
      <c r="G161" s="738">
        <f t="shared" si="9"/>
        <v>58429.118644058646</v>
      </c>
      <c r="H161" s="740">
        <f>+J97*G161+E161</f>
        <v>123163.11193897229</v>
      </c>
      <c r="I161" s="740">
        <f>+J98*G161+E161</f>
        <v>123163.11193897229</v>
      </c>
      <c r="J161" s="741">
        <f t="shared" si="10"/>
        <v>0</v>
      </c>
      <c r="K161" s="729"/>
      <c r="L161" s="742"/>
      <c r="M161" s="741">
        <f t="shared" si="11"/>
        <v>0</v>
      </c>
      <c r="N161" s="742"/>
      <c r="O161" s="741">
        <f t="shared" si="12"/>
        <v>0</v>
      </c>
      <c r="P161" s="741">
        <f t="shared" si="13"/>
        <v>0</v>
      </c>
      <c r="Q161" s="677"/>
    </row>
    <row r="162" spans="1:17">
      <c r="B162" s="334"/>
      <c r="C162" s="676" t="s">
        <v>289</v>
      </c>
      <c r="D162" s="672"/>
      <c r="E162" s="672">
        <f>SUM(E102:E161)</f>
        <v>13789272</v>
      </c>
      <c r="F162" s="672"/>
      <c r="G162" s="672"/>
      <c r="H162" s="672">
        <f>SUM(H102:H161)</f>
        <v>58427784.52806022</v>
      </c>
      <c r="I162" s="672">
        <f>SUM(I102:I161)</f>
        <v>58427784.52806022</v>
      </c>
      <c r="J162" s="672">
        <f>SUM(J102:J161)</f>
        <v>0</v>
      </c>
      <c r="K162" s="672"/>
      <c r="L162" s="672"/>
      <c r="M162" s="672"/>
      <c r="N162" s="672"/>
      <c r="O162" s="672"/>
      <c r="Q162" s="672"/>
    </row>
    <row r="163" spans="1:17">
      <c r="B163" s="334"/>
      <c r="D163" s="566"/>
      <c r="E163" s="543"/>
      <c r="F163" s="543"/>
      <c r="G163" s="543"/>
      <c r="H163" s="543"/>
      <c r="I163" s="649"/>
      <c r="J163" s="649"/>
      <c r="K163" s="672"/>
      <c r="L163" s="649"/>
      <c r="M163" s="649"/>
      <c r="N163" s="649"/>
      <c r="O163" s="649"/>
      <c r="Q163" s="672"/>
    </row>
    <row r="164" spans="1:17">
      <c r="B164" s="334"/>
      <c r="C164" s="543" t="s">
        <v>602</v>
      </c>
      <c r="D164" s="566"/>
      <c r="E164" s="543"/>
      <c r="F164" s="543"/>
      <c r="G164" s="543"/>
      <c r="H164" s="543"/>
      <c r="I164" s="649"/>
      <c r="J164" s="649"/>
      <c r="K164" s="672"/>
      <c r="L164" s="649"/>
      <c r="M164" s="649"/>
      <c r="N164" s="649"/>
      <c r="O164" s="649"/>
      <c r="Q164" s="672"/>
    </row>
    <row r="165" spans="1:17">
      <c r="B165" s="334"/>
      <c r="D165" s="566"/>
      <c r="E165" s="543"/>
      <c r="F165" s="543"/>
      <c r="G165" s="543"/>
      <c r="H165" s="543"/>
      <c r="I165" s="649"/>
      <c r="J165" s="649"/>
      <c r="K165" s="672"/>
      <c r="L165" s="649"/>
      <c r="M165" s="649"/>
      <c r="N165" s="649"/>
      <c r="O165" s="649"/>
      <c r="Q165" s="672"/>
    </row>
    <row r="166" spans="1:17">
      <c r="B166" s="334"/>
      <c r="C166" s="579" t="s">
        <v>603</v>
      </c>
      <c r="D166" s="676"/>
      <c r="E166" s="676"/>
      <c r="F166" s="676"/>
      <c r="G166" s="676"/>
      <c r="H166" s="672"/>
      <c r="I166" s="672"/>
      <c r="J166" s="677"/>
      <c r="K166" s="677"/>
      <c r="L166" s="677"/>
      <c r="M166" s="677"/>
      <c r="N166" s="677"/>
      <c r="O166" s="677"/>
      <c r="Q166" s="677"/>
    </row>
    <row r="167" spans="1:17">
      <c r="B167" s="334"/>
      <c r="C167" s="579" t="s">
        <v>477</v>
      </c>
      <c r="D167" s="676"/>
      <c r="E167" s="676"/>
      <c r="F167" s="676"/>
      <c r="G167" s="676"/>
      <c r="H167" s="672"/>
      <c r="I167" s="672"/>
      <c r="J167" s="677"/>
      <c r="K167" s="677"/>
      <c r="L167" s="677"/>
      <c r="M167" s="677"/>
      <c r="N167" s="677"/>
      <c r="O167" s="677"/>
      <c r="Q167" s="677"/>
    </row>
    <row r="168" spans="1:17">
      <c r="B168" s="334"/>
      <c r="C168" s="579" t="s">
        <v>290</v>
      </c>
      <c r="D168" s="676"/>
      <c r="E168" s="676"/>
      <c r="F168" s="676"/>
      <c r="G168" s="676"/>
      <c r="H168" s="672"/>
      <c r="I168" s="672"/>
      <c r="J168" s="677"/>
      <c r="K168" s="677"/>
      <c r="L168" s="677"/>
      <c r="M168" s="677"/>
      <c r="N168" s="677"/>
      <c r="O168" s="677"/>
      <c r="Q168" s="677"/>
    </row>
    <row r="169" spans="1:17" ht="20.25">
      <c r="A169" s="678" t="s">
        <v>780</v>
      </c>
      <c r="B169" s="543"/>
      <c r="C169" s="658"/>
      <c r="D169" s="566"/>
      <c r="E169" s="543"/>
      <c r="F169" s="648"/>
      <c r="G169" s="648"/>
      <c r="H169" s="543"/>
      <c r="I169" s="649"/>
      <c r="L169" s="679"/>
      <c r="M169" s="679"/>
      <c r="N169" s="679"/>
      <c r="O169" s="594" t="str">
        <f>"Page "&amp;SUM(Q$3:Q169)&amp;" of "</f>
        <v xml:space="preserve">Page 3 of </v>
      </c>
      <c r="P169" s="595">
        <f>COUNT(Q$8:Q$58123)</f>
        <v>15</v>
      </c>
      <c r="Q169" s="763">
        <v>1</v>
      </c>
    </row>
    <row r="170" spans="1:17">
      <c r="B170" s="543"/>
      <c r="C170" s="543"/>
      <c r="D170" s="566"/>
      <c r="E170" s="543"/>
      <c r="F170" s="543"/>
      <c r="G170" s="543"/>
      <c r="H170" s="543"/>
      <c r="I170" s="649"/>
      <c r="J170" s="543"/>
      <c r="K170" s="591"/>
      <c r="Q170" s="591"/>
    </row>
    <row r="171" spans="1:17" ht="18">
      <c r="B171" s="598" t="s">
        <v>175</v>
      </c>
      <c r="C171" s="680" t="s">
        <v>291</v>
      </c>
      <c r="D171" s="566"/>
      <c r="E171" s="543"/>
      <c r="F171" s="543"/>
      <c r="G171" s="543"/>
      <c r="H171" s="543"/>
      <c r="I171" s="649"/>
      <c r="J171" s="649"/>
      <c r="K171" s="672"/>
      <c r="L171" s="649"/>
      <c r="M171" s="649"/>
      <c r="N171" s="649"/>
      <c r="O171" s="649"/>
      <c r="Q171" s="672"/>
    </row>
    <row r="172" spans="1:17" ht="18.75">
      <c r="B172" s="598"/>
      <c r="C172" s="597"/>
      <c r="D172" s="566"/>
      <c r="E172" s="543"/>
      <c r="F172" s="543"/>
      <c r="G172" s="543"/>
      <c r="H172" s="543"/>
      <c r="I172" s="649"/>
      <c r="J172" s="649"/>
      <c r="K172" s="672"/>
      <c r="L172" s="649"/>
      <c r="M172" s="649"/>
      <c r="N172" s="649"/>
      <c r="O172" s="649"/>
      <c r="Q172" s="672"/>
    </row>
    <row r="173" spans="1:17" ht="18.75">
      <c r="B173" s="598"/>
      <c r="C173" s="597" t="s">
        <v>292</v>
      </c>
      <c r="D173" s="566"/>
      <c r="E173" s="543"/>
      <c r="F173" s="543"/>
      <c r="G173" s="543"/>
      <c r="H173" s="543"/>
      <c r="I173" s="649"/>
      <c r="J173" s="649"/>
      <c r="K173" s="672"/>
      <c r="L173" s="649"/>
      <c r="M173" s="649"/>
      <c r="N173" s="649"/>
      <c r="O173" s="649"/>
      <c r="Q173" s="672"/>
    </row>
    <row r="174" spans="1:17" ht="15.75" thickBot="1">
      <c r="B174" s="334"/>
      <c r="C174" s="400"/>
      <c r="D174" s="566"/>
      <c r="E174" s="543"/>
      <c r="F174" s="543"/>
      <c r="G174" s="543"/>
      <c r="H174" s="543"/>
      <c r="I174" s="649"/>
      <c r="J174" s="649"/>
      <c r="K174" s="672"/>
      <c r="L174" s="649"/>
      <c r="M174" s="649"/>
      <c r="N174" s="649"/>
      <c r="O174" s="649"/>
      <c r="Q174" s="672"/>
    </row>
    <row r="175" spans="1:17" ht="15.75">
      <c r="B175" s="334"/>
      <c r="C175" s="599" t="s">
        <v>293</v>
      </c>
      <c r="D175" s="566"/>
      <c r="E175" s="543"/>
      <c r="F175" s="543"/>
      <c r="G175" s="543"/>
      <c r="H175" s="874"/>
      <c r="I175" s="543" t="s">
        <v>272</v>
      </c>
      <c r="J175" s="543"/>
      <c r="K175" s="591"/>
      <c r="L175" s="764">
        <f>+J181</f>
        <v>2018</v>
      </c>
      <c r="M175" s="746" t="s">
        <v>255</v>
      </c>
      <c r="N175" s="746" t="s">
        <v>256</v>
      </c>
      <c r="O175" s="747" t="s">
        <v>257</v>
      </c>
      <c r="Q175" s="591"/>
    </row>
    <row r="176" spans="1:17" ht="15.75">
      <c r="B176" s="334"/>
      <c r="C176" s="599"/>
      <c r="D176" s="566"/>
      <c r="E176" s="543"/>
      <c r="F176" s="543"/>
      <c r="H176" s="543"/>
      <c r="I176" s="684"/>
      <c r="J176" s="684"/>
      <c r="K176" s="685"/>
      <c r="L176" s="765" t="s">
        <v>456</v>
      </c>
      <c r="M176" s="766">
        <f>VLOOKUP(J181,C188:P247,10)</f>
        <v>279967</v>
      </c>
      <c r="N176" s="766">
        <f>VLOOKUP(J181,C188:P247,12)</f>
        <v>279967</v>
      </c>
      <c r="O176" s="767">
        <f>+N176-M176</f>
        <v>0</v>
      </c>
      <c r="Q176" s="685"/>
    </row>
    <row r="177" spans="1:17">
      <c r="B177" s="334"/>
      <c r="C177" s="687" t="s">
        <v>294</v>
      </c>
      <c r="D177" s="1434" t="s">
        <v>996</v>
      </c>
      <c r="E177" s="1434"/>
      <c r="F177" s="1434"/>
      <c r="G177" s="1434"/>
      <c r="H177" s="885"/>
      <c r="I177" s="649"/>
      <c r="J177" s="649"/>
      <c r="K177" s="672"/>
      <c r="L177" s="765" t="s">
        <v>457</v>
      </c>
      <c r="M177" s="768">
        <f>VLOOKUP(J181,C188:P247,6)</f>
        <v>279740.2793572885</v>
      </c>
      <c r="N177" s="768">
        <f>VLOOKUP(J181,C188:P247,7)</f>
        <v>279740.2793572885</v>
      </c>
      <c r="O177" s="769">
        <f>+N177-M177</f>
        <v>0</v>
      </c>
      <c r="Q177" s="672"/>
    </row>
    <row r="178" spans="1:17" ht="13.5" thickBot="1">
      <c r="B178" s="334"/>
      <c r="C178" s="689"/>
      <c r="D178" s="690"/>
      <c r="E178" s="674"/>
      <c r="F178" s="674"/>
      <c r="G178" s="674"/>
      <c r="H178" s="691"/>
      <c r="I178" s="649"/>
      <c r="J178" s="649"/>
      <c r="K178" s="672"/>
      <c r="L178" s="710" t="s">
        <v>458</v>
      </c>
      <c r="M178" s="770">
        <f>+M177-M176</f>
        <v>-226.72064271150157</v>
      </c>
      <c r="N178" s="770">
        <f>+N177-N176</f>
        <v>-226.72064271150157</v>
      </c>
      <c r="O178" s="771">
        <f>+O177-O176</f>
        <v>0</v>
      </c>
      <c r="Q178" s="672"/>
    </row>
    <row r="179" spans="1:17" ht="13.5" thickBot="1">
      <c r="B179" s="334"/>
      <c r="C179" s="692"/>
      <c r="D179" s="693"/>
      <c r="E179" s="691"/>
      <c r="F179" s="691"/>
      <c r="G179" s="691"/>
      <c r="H179" s="691"/>
      <c r="I179" s="691"/>
      <c r="J179" s="691"/>
      <c r="K179" s="694"/>
      <c r="L179" s="691"/>
      <c r="M179" s="691"/>
      <c r="N179" s="691"/>
      <c r="O179" s="691"/>
      <c r="P179" s="579"/>
      <c r="Q179" s="694"/>
    </row>
    <row r="180" spans="1:17" ht="13.5" thickBot="1">
      <c r="B180" s="334"/>
      <c r="C180" s="696" t="s">
        <v>295</v>
      </c>
      <c r="D180" s="697"/>
      <c r="E180" s="697"/>
      <c r="F180" s="697"/>
      <c r="G180" s="697"/>
      <c r="H180" s="697"/>
      <c r="I180" s="697"/>
      <c r="J180" s="697"/>
      <c r="K180" s="699"/>
      <c r="P180" s="700"/>
      <c r="Q180" s="699"/>
    </row>
    <row r="181" spans="1:17" ht="15">
      <c r="A181" s="695"/>
      <c r="B181" s="334"/>
      <c r="C181" s="702" t="s">
        <v>273</v>
      </c>
      <c r="D181" s="875">
        <v>2476289</v>
      </c>
      <c r="E181" s="658" t="s">
        <v>274</v>
      </c>
      <c r="H181" s="703"/>
      <c r="I181" s="703"/>
      <c r="J181" s="704">
        <v>2018</v>
      </c>
      <c r="K181" s="589"/>
      <c r="L181" s="1445" t="s">
        <v>275</v>
      </c>
      <c r="M181" s="1445"/>
      <c r="N181" s="1445"/>
      <c r="O181" s="1445"/>
      <c r="P181" s="591"/>
      <c r="Q181" s="589"/>
    </row>
    <row r="182" spans="1:17">
      <c r="A182" s="695"/>
      <c r="B182" s="334"/>
      <c r="C182" s="702" t="s">
        <v>276</v>
      </c>
      <c r="D182" s="886">
        <v>2011</v>
      </c>
      <c r="E182" s="702" t="s">
        <v>277</v>
      </c>
      <c r="F182" s="703"/>
      <c r="G182" s="703"/>
      <c r="I182" s="334"/>
      <c r="J182" s="879">
        <v>0</v>
      </c>
      <c r="K182" s="705"/>
      <c r="L182" s="672" t="s">
        <v>476</v>
      </c>
      <c r="P182" s="591"/>
      <c r="Q182" s="705"/>
    </row>
    <row r="183" spans="1:17">
      <c r="A183" s="695"/>
      <c r="B183" s="334"/>
      <c r="C183" s="702" t="s">
        <v>278</v>
      </c>
      <c r="D183" s="877">
        <v>12</v>
      </c>
      <c r="E183" s="702" t="s">
        <v>279</v>
      </c>
      <c r="F183" s="703"/>
      <c r="G183" s="703"/>
      <c r="I183" s="334"/>
      <c r="J183" s="706">
        <f>$F$70</f>
        <v>0.10790637951024619</v>
      </c>
      <c r="K183" s="707"/>
      <c r="L183" s="543" t="str">
        <f>"          INPUT TRUE-UP ARR (WITH &amp; WITHOUT INCENTIVES) FROM EACH PRIOR YEAR"</f>
        <v xml:space="preserve">          INPUT TRUE-UP ARR (WITH &amp; WITHOUT INCENTIVES) FROM EACH PRIOR YEAR</v>
      </c>
      <c r="P183" s="591"/>
      <c r="Q183" s="707"/>
    </row>
    <row r="184" spans="1:17">
      <c r="A184" s="695"/>
      <c r="B184" s="334"/>
      <c r="C184" s="702" t="s">
        <v>280</v>
      </c>
      <c r="D184" s="708">
        <f>H79</f>
        <v>59</v>
      </c>
      <c r="E184" s="702" t="s">
        <v>281</v>
      </c>
      <c r="F184" s="703"/>
      <c r="G184" s="703"/>
      <c r="I184" s="334"/>
      <c r="J184" s="706">
        <f>IF(H175="",J183,$F$69)</f>
        <v>0.10790637951024619</v>
      </c>
      <c r="K184" s="709"/>
      <c r="L184" s="543" t="s">
        <v>363</v>
      </c>
      <c r="M184" s="709"/>
      <c r="N184" s="709"/>
      <c r="O184" s="709"/>
      <c r="P184" s="591"/>
      <c r="Q184" s="709"/>
    </row>
    <row r="185" spans="1:17" ht="13.5" thickBot="1">
      <c r="A185" s="695"/>
      <c r="B185" s="334"/>
      <c r="C185" s="702" t="s">
        <v>282</v>
      </c>
      <c r="D185" s="878" t="s">
        <v>995</v>
      </c>
      <c r="E185" s="710" t="s">
        <v>283</v>
      </c>
      <c r="F185" s="711"/>
      <c r="G185" s="711"/>
      <c r="H185" s="712"/>
      <c r="I185" s="712"/>
      <c r="J185" s="688">
        <f>IF(D181=0,0,D181/D184)</f>
        <v>41971</v>
      </c>
      <c r="K185" s="672"/>
      <c r="L185" s="672" t="s">
        <v>364</v>
      </c>
      <c r="M185" s="672"/>
      <c r="N185" s="672"/>
      <c r="O185" s="672"/>
      <c r="P185" s="591"/>
      <c r="Q185" s="672"/>
    </row>
    <row r="186" spans="1:17" ht="38.25">
      <c r="A186" s="530"/>
      <c r="B186" s="530"/>
      <c r="C186" s="713" t="s">
        <v>273</v>
      </c>
      <c r="D186" s="714" t="s">
        <v>284</v>
      </c>
      <c r="E186" s="715" t="s">
        <v>285</v>
      </c>
      <c r="F186" s="714" t="s">
        <v>286</v>
      </c>
      <c r="G186" s="714" t="s">
        <v>459</v>
      </c>
      <c r="H186" s="715" t="s">
        <v>357</v>
      </c>
      <c r="I186" s="716" t="s">
        <v>357</v>
      </c>
      <c r="J186" s="713" t="s">
        <v>296</v>
      </c>
      <c r="K186" s="717"/>
      <c r="L186" s="715" t="s">
        <v>359</v>
      </c>
      <c r="M186" s="715" t="s">
        <v>365</v>
      </c>
      <c r="N186" s="715" t="s">
        <v>359</v>
      </c>
      <c r="O186" s="715" t="s">
        <v>367</v>
      </c>
      <c r="P186" s="715" t="s">
        <v>287</v>
      </c>
      <c r="Q186" s="718"/>
    </row>
    <row r="187" spans="1:17" ht="13.5" thickBot="1">
      <c r="B187" s="334"/>
      <c r="C187" s="719" t="s">
        <v>178</v>
      </c>
      <c r="D187" s="720" t="s">
        <v>179</v>
      </c>
      <c r="E187" s="719" t="s">
        <v>37</v>
      </c>
      <c r="F187" s="720" t="s">
        <v>179</v>
      </c>
      <c r="G187" s="720" t="s">
        <v>179</v>
      </c>
      <c r="H187" s="721" t="s">
        <v>299</v>
      </c>
      <c r="I187" s="722" t="s">
        <v>301</v>
      </c>
      <c r="J187" s="723" t="s">
        <v>390</v>
      </c>
      <c r="K187" s="724"/>
      <c r="L187" s="721" t="s">
        <v>288</v>
      </c>
      <c r="M187" s="721" t="s">
        <v>288</v>
      </c>
      <c r="N187" s="721" t="s">
        <v>468</v>
      </c>
      <c r="O187" s="721" t="s">
        <v>468</v>
      </c>
      <c r="P187" s="721" t="s">
        <v>468</v>
      </c>
      <c r="Q187" s="589"/>
    </row>
    <row r="188" spans="1:17">
      <c r="B188" s="334"/>
      <c r="C188" s="725">
        <f>IF(D182= "","-",D182)</f>
        <v>2011</v>
      </c>
      <c r="D188" s="676">
        <f>+D181</f>
        <v>2476289</v>
      </c>
      <c r="E188" s="726">
        <f>+J185/12*(12-D183)</f>
        <v>0</v>
      </c>
      <c r="F188" s="772">
        <f t="shared" ref="F188:F247" si="16">+D188-E188</f>
        <v>2476289</v>
      </c>
      <c r="G188" s="676">
        <f t="shared" ref="G188:G247" si="17">+(D188+F188)/2</f>
        <v>2476289</v>
      </c>
      <c r="H188" s="727">
        <f>+J183*G188+E188</f>
        <v>267207.38061104802</v>
      </c>
      <c r="I188" s="728">
        <f>+J184*G188+E188</f>
        <v>267207.38061104802</v>
      </c>
      <c r="J188" s="729">
        <f t="shared" ref="J188:J247" si="18">+I188-H188</f>
        <v>0</v>
      </c>
      <c r="K188" s="729"/>
      <c r="L188" s="730">
        <v>0</v>
      </c>
      <c r="M188" s="773">
        <f t="shared" ref="M188:M247" si="19">IF(L188&lt;&gt;0,+H188-L188,0)</f>
        <v>0</v>
      </c>
      <c r="N188" s="730">
        <v>0</v>
      </c>
      <c r="O188" s="773">
        <f t="shared" ref="O188:O247" si="20">IF(N188&lt;&gt;0,+I188-N188,0)</f>
        <v>0</v>
      </c>
      <c r="P188" s="773">
        <f t="shared" ref="P188:P247" si="21">+O188-M188</f>
        <v>0</v>
      </c>
      <c r="Q188" s="677"/>
    </row>
    <row r="189" spans="1:17">
      <c r="B189" s="334"/>
      <c r="C189" s="725">
        <f>IF(D182="","-",+C188+1)</f>
        <v>2012</v>
      </c>
      <c r="D189" s="676">
        <f t="shared" ref="D189:D247" si="22">F188</f>
        <v>2476289</v>
      </c>
      <c r="E189" s="732">
        <f>IF(D189&gt;$J$185,$J$185,D189)</f>
        <v>41971</v>
      </c>
      <c r="F189" s="732">
        <f t="shared" si="16"/>
        <v>2434318</v>
      </c>
      <c r="G189" s="676">
        <f t="shared" si="17"/>
        <v>2455303.5</v>
      </c>
      <c r="H189" s="726">
        <f>+J183*G189+E189</f>
        <v>306913.91128383577</v>
      </c>
      <c r="I189" s="733">
        <f>+J184*G189+E189</f>
        <v>306913.91128383577</v>
      </c>
      <c r="J189" s="729">
        <f t="shared" si="18"/>
        <v>0</v>
      </c>
      <c r="K189" s="729"/>
      <c r="L189" s="734">
        <v>39854</v>
      </c>
      <c r="M189" s="729">
        <f t="shared" si="19"/>
        <v>267059.91128383577</v>
      </c>
      <c r="N189" s="734">
        <v>39854</v>
      </c>
      <c r="O189" s="729">
        <f t="shared" si="20"/>
        <v>267059.91128383577</v>
      </c>
      <c r="P189" s="729">
        <f t="shared" si="21"/>
        <v>0</v>
      </c>
      <c r="Q189" s="677"/>
    </row>
    <row r="190" spans="1:17">
      <c r="B190" s="334"/>
      <c r="C190" s="725">
        <f>IF(D182="","-",+C189+1)</f>
        <v>2013</v>
      </c>
      <c r="D190" s="676">
        <f t="shared" si="22"/>
        <v>2434318</v>
      </c>
      <c r="E190" s="732">
        <f t="shared" ref="E190:E247" si="23">IF(D190&gt;$J$185,$J$185,D190)</f>
        <v>41971</v>
      </c>
      <c r="F190" s="732">
        <f t="shared" si="16"/>
        <v>2392347</v>
      </c>
      <c r="G190" s="676">
        <f t="shared" si="17"/>
        <v>2413332.5</v>
      </c>
      <c r="H190" s="726">
        <f>+J183*G190+E190</f>
        <v>302384.9726294112</v>
      </c>
      <c r="I190" s="733">
        <f>+J184*G190+E190</f>
        <v>302384.9726294112</v>
      </c>
      <c r="J190" s="729">
        <f t="shared" si="18"/>
        <v>0</v>
      </c>
      <c r="K190" s="729"/>
      <c r="L190" s="734">
        <v>41778</v>
      </c>
      <c r="M190" s="729">
        <f t="shared" si="19"/>
        <v>260606.9726294112</v>
      </c>
      <c r="N190" s="734">
        <v>41778</v>
      </c>
      <c r="O190" s="729">
        <f t="shared" si="20"/>
        <v>260606.9726294112</v>
      </c>
      <c r="P190" s="729">
        <f t="shared" si="21"/>
        <v>0</v>
      </c>
      <c r="Q190" s="677"/>
    </row>
    <row r="191" spans="1:17">
      <c r="B191" s="334"/>
      <c r="C191" s="725">
        <f>IF(D182="","-",+C190+1)</f>
        <v>2014</v>
      </c>
      <c r="D191" s="676">
        <f t="shared" si="22"/>
        <v>2392347</v>
      </c>
      <c r="E191" s="732">
        <f t="shared" si="23"/>
        <v>41971</v>
      </c>
      <c r="F191" s="732">
        <f t="shared" si="16"/>
        <v>2350376</v>
      </c>
      <c r="G191" s="676">
        <f t="shared" si="17"/>
        <v>2371361.5</v>
      </c>
      <c r="H191" s="726">
        <f>+J183*G191+E191</f>
        <v>297856.03397498664</v>
      </c>
      <c r="I191" s="733">
        <f>+J184*G191+E191</f>
        <v>297856.03397498664</v>
      </c>
      <c r="J191" s="729">
        <f t="shared" si="18"/>
        <v>0</v>
      </c>
      <c r="K191" s="729"/>
      <c r="L191" s="734">
        <v>36470</v>
      </c>
      <c r="M191" s="729">
        <f t="shared" si="19"/>
        <v>261386.03397498664</v>
      </c>
      <c r="N191" s="734">
        <v>36470</v>
      </c>
      <c r="O191" s="729">
        <f t="shared" si="20"/>
        <v>261386.03397498664</v>
      </c>
      <c r="P191" s="729">
        <f t="shared" si="21"/>
        <v>0</v>
      </c>
      <c r="Q191" s="677"/>
    </row>
    <row r="192" spans="1:17">
      <c r="B192" s="334"/>
      <c r="C192" s="725">
        <f>IF(D182="","-",+C191+1)</f>
        <v>2015</v>
      </c>
      <c r="D192" s="676">
        <f t="shared" si="22"/>
        <v>2350376</v>
      </c>
      <c r="E192" s="732">
        <f t="shared" si="23"/>
        <v>41971</v>
      </c>
      <c r="F192" s="732">
        <f t="shared" si="16"/>
        <v>2308405</v>
      </c>
      <c r="G192" s="676">
        <f t="shared" si="17"/>
        <v>2329390.5</v>
      </c>
      <c r="H192" s="726">
        <f>+J183*G192+E192</f>
        <v>293327.09532056213</v>
      </c>
      <c r="I192" s="733">
        <f>+J184*G192+E192</f>
        <v>293327.09532056213</v>
      </c>
      <c r="J192" s="729">
        <f t="shared" si="18"/>
        <v>0</v>
      </c>
      <c r="K192" s="729"/>
      <c r="L192" s="734">
        <v>36769</v>
      </c>
      <c r="M192" s="729">
        <f t="shared" si="19"/>
        <v>256558.09532056213</v>
      </c>
      <c r="N192" s="734">
        <v>36769</v>
      </c>
      <c r="O192" s="729">
        <f t="shared" si="20"/>
        <v>256558.09532056213</v>
      </c>
      <c r="P192" s="729">
        <f t="shared" si="21"/>
        <v>0</v>
      </c>
      <c r="Q192" s="677"/>
    </row>
    <row r="193" spans="2:17">
      <c r="B193" s="334"/>
      <c r="C193" s="725">
        <f>IF(D182="","-",+C192+1)</f>
        <v>2016</v>
      </c>
      <c r="D193" s="676">
        <f t="shared" si="22"/>
        <v>2308405</v>
      </c>
      <c r="E193" s="732">
        <f t="shared" si="23"/>
        <v>41971</v>
      </c>
      <c r="F193" s="732">
        <f t="shared" si="16"/>
        <v>2266434</v>
      </c>
      <c r="G193" s="676">
        <f t="shared" si="17"/>
        <v>2287419.5</v>
      </c>
      <c r="H193" s="726">
        <f>+J183*G193+E193</f>
        <v>288798.15666613757</v>
      </c>
      <c r="I193" s="733">
        <f>+J184*G193+E193</f>
        <v>288798.15666613757</v>
      </c>
      <c r="J193" s="729">
        <f t="shared" si="18"/>
        <v>0</v>
      </c>
      <c r="K193" s="729"/>
      <c r="L193" s="734">
        <v>35303</v>
      </c>
      <c r="M193" s="729">
        <f t="shared" si="19"/>
        <v>253495.15666613757</v>
      </c>
      <c r="N193" s="734">
        <v>35303</v>
      </c>
      <c r="O193" s="729">
        <f t="shared" si="20"/>
        <v>253495.15666613757</v>
      </c>
      <c r="P193" s="729">
        <f t="shared" si="21"/>
        <v>0</v>
      </c>
      <c r="Q193" s="677"/>
    </row>
    <row r="194" spans="2:17">
      <c r="B194" s="334"/>
      <c r="C194" s="725">
        <f>IF(D182="","-",+C193+1)</f>
        <v>2017</v>
      </c>
      <c r="D194" s="676">
        <f t="shared" si="22"/>
        <v>2266434</v>
      </c>
      <c r="E194" s="732">
        <f t="shared" si="23"/>
        <v>41971</v>
      </c>
      <c r="F194" s="732">
        <f t="shared" si="16"/>
        <v>2224463</v>
      </c>
      <c r="G194" s="676">
        <f t="shared" si="17"/>
        <v>2245448.5</v>
      </c>
      <c r="H194" s="726">
        <f>+J183*G194+E194</f>
        <v>284269.218011713</v>
      </c>
      <c r="I194" s="733">
        <f>+J184*G194+E194</f>
        <v>284269.218011713</v>
      </c>
      <c r="J194" s="729">
        <f t="shared" si="18"/>
        <v>0</v>
      </c>
      <c r="K194" s="729"/>
      <c r="L194" s="734">
        <v>331151</v>
      </c>
      <c r="M194" s="729">
        <f t="shared" si="19"/>
        <v>-46881.781988286995</v>
      </c>
      <c r="N194" s="734">
        <v>331151</v>
      </c>
      <c r="O194" s="729">
        <f t="shared" si="20"/>
        <v>-46881.781988286995</v>
      </c>
      <c r="P194" s="729">
        <f t="shared" si="21"/>
        <v>0</v>
      </c>
      <c r="Q194" s="677"/>
    </row>
    <row r="195" spans="2:17">
      <c r="B195" s="334"/>
      <c r="C195" s="725">
        <f>IF(D182="","-",+C194+1)</f>
        <v>2018</v>
      </c>
      <c r="D195" s="1311">
        <f t="shared" si="22"/>
        <v>2224463</v>
      </c>
      <c r="E195" s="732">
        <f t="shared" si="23"/>
        <v>41971</v>
      </c>
      <c r="F195" s="732">
        <f t="shared" si="16"/>
        <v>2182492</v>
      </c>
      <c r="G195" s="676">
        <f t="shared" si="17"/>
        <v>2203477.5</v>
      </c>
      <c r="H195" s="726">
        <f>+J183*G195+E195</f>
        <v>279740.2793572885</v>
      </c>
      <c r="I195" s="733">
        <f>+J184*G195+E195</f>
        <v>279740.2793572885</v>
      </c>
      <c r="J195" s="729">
        <f t="shared" si="18"/>
        <v>0</v>
      </c>
      <c r="K195" s="729"/>
      <c r="L195" s="734">
        <v>279967</v>
      </c>
      <c r="M195" s="729">
        <f t="shared" si="19"/>
        <v>-226.72064271150157</v>
      </c>
      <c r="N195" s="734">
        <v>279967</v>
      </c>
      <c r="O195" s="729">
        <f t="shared" si="20"/>
        <v>-226.72064271150157</v>
      </c>
      <c r="P195" s="729">
        <f t="shared" si="21"/>
        <v>0</v>
      </c>
      <c r="Q195" s="677"/>
    </row>
    <row r="196" spans="2:17">
      <c r="B196" s="334"/>
      <c r="C196" s="725">
        <f>IF(D182="","-",+C195+1)</f>
        <v>2019</v>
      </c>
      <c r="D196" s="676">
        <f t="shared" si="22"/>
        <v>2182492</v>
      </c>
      <c r="E196" s="732">
        <f t="shared" si="23"/>
        <v>41971</v>
      </c>
      <c r="F196" s="732">
        <f t="shared" si="16"/>
        <v>2140521</v>
      </c>
      <c r="G196" s="676">
        <f t="shared" si="17"/>
        <v>2161506.5</v>
      </c>
      <c r="H196" s="726">
        <f>+J183*G196+E196</f>
        <v>275211.34070286399</v>
      </c>
      <c r="I196" s="733">
        <f>+J184*G196+E196</f>
        <v>275211.34070286399</v>
      </c>
      <c r="J196" s="729">
        <f t="shared" si="18"/>
        <v>0</v>
      </c>
      <c r="K196" s="729"/>
      <c r="L196" s="734">
        <v>0</v>
      </c>
      <c r="M196" s="729">
        <f t="shared" si="19"/>
        <v>0</v>
      </c>
      <c r="N196" s="734">
        <v>0</v>
      </c>
      <c r="O196" s="729">
        <f t="shared" si="20"/>
        <v>0</v>
      </c>
      <c r="P196" s="729">
        <f t="shared" si="21"/>
        <v>0</v>
      </c>
      <c r="Q196" s="677"/>
    </row>
    <row r="197" spans="2:17">
      <c r="B197" s="334"/>
      <c r="C197" s="725">
        <f>IF(D182="","-",+C196+1)</f>
        <v>2020</v>
      </c>
      <c r="D197" s="676">
        <f t="shared" si="22"/>
        <v>2140521</v>
      </c>
      <c r="E197" s="732">
        <f t="shared" si="23"/>
        <v>41971</v>
      </c>
      <c r="F197" s="732">
        <f t="shared" si="16"/>
        <v>2098550</v>
      </c>
      <c r="G197" s="676">
        <f t="shared" si="17"/>
        <v>2119535.5</v>
      </c>
      <c r="H197" s="726">
        <f>+J183*G197+E197</f>
        <v>270682.40204843937</v>
      </c>
      <c r="I197" s="733">
        <f>+J184*G197+E197</f>
        <v>270682.40204843937</v>
      </c>
      <c r="J197" s="729">
        <f t="shared" si="18"/>
        <v>0</v>
      </c>
      <c r="K197" s="729"/>
      <c r="L197" s="734">
        <v>0</v>
      </c>
      <c r="M197" s="729">
        <f t="shared" si="19"/>
        <v>0</v>
      </c>
      <c r="N197" s="734">
        <v>0</v>
      </c>
      <c r="O197" s="729">
        <f t="shared" si="20"/>
        <v>0</v>
      </c>
      <c r="P197" s="729">
        <f t="shared" si="21"/>
        <v>0</v>
      </c>
      <c r="Q197" s="677"/>
    </row>
    <row r="198" spans="2:17">
      <c r="B198" s="334"/>
      <c r="C198" s="725">
        <f>IF(D182="","-",+C197+1)</f>
        <v>2021</v>
      </c>
      <c r="D198" s="676">
        <f t="shared" si="22"/>
        <v>2098550</v>
      </c>
      <c r="E198" s="732">
        <f t="shared" si="23"/>
        <v>41971</v>
      </c>
      <c r="F198" s="732">
        <f t="shared" si="16"/>
        <v>2056579</v>
      </c>
      <c r="G198" s="676">
        <f t="shared" si="17"/>
        <v>2077564.5</v>
      </c>
      <c r="H198" s="726">
        <f>+J183*G198+E198</f>
        <v>266153.46339401486</v>
      </c>
      <c r="I198" s="733">
        <f>+J184*G198+E198</f>
        <v>266153.46339401486</v>
      </c>
      <c r="J198" s="729">
        <f t="shared" si="18"/>
        <v>0</v>
      </c>
      <c r="K198" s="729"/>
      <c r="L198" s="734">
        <v>0</v>
      </c>
      <c r="M198" s="729">
        <f t="shared" si="19"/>
        <v>0</v>
      </c>
      <c r="N198" s="734">
        <v>0</v>
      </c>
      <c r="O198" s="729">
        <f t="shared" si="20"/>
        <v>0</v>
      </c>
      <c r="P198" s="729">
        <f t="shared" si="21"/>
        <v>0</v>
      </c>
      <c r="Q198" s="677"/>
    </row>
    <row r="199" spans="2:17">
      <c r="B199" s="334"/>
      <c r="C199" s="725">
        <f>IF(D182="","-",+C198+1)</f>
        <v>2022</v>
      </c>
      <c r="D199" s="676">
        <f t="shared" si="22"/>
        <v>2056579</v>
      </c>
      <c r="E199" s="732">
        <f t="shared" si="23"/>
        <v>41971</v>
      </c>
      <c r="F199" s="732">
        <f t="shared" si="16"/>
        <v>2014608</v>
      </c>
      <c r="G199" s="676">
        <f t="shared" si="17"/>
        <v>2035593.5</v>
      </c>
      <c r="H199" s="726">
        <f>+J183*G199+E199</f>
        <v>261624.52473959033</v>
      </c>
      <c r="I199" s="733">
        <f>+J184*G199+E199</f>
        <v>261624.52473959033</v>
      </c>
      <c r="J199" s="729">
        <f t="shared" si="18"/>
        <v>0</v>
      </c>
      <c r="K199" s="729"/>
      <c r="L199" s="734"/>
      <c r="M199" s="729">
        <f t="shared" si="19"/>
        <v>0</v>
      </c>
      <c r="N199" s="734"/>
      <c r="O199" s="729">
        <f t="shared" si="20"/>
        <v>0</v>
      </c>
      <c r="P199" s="729">
        <f t="shared" si="21"/>
        <v>0</v>
      </c>
      <c r="Q199" s="677"/>
    </row>
    <row r="200" spans="2:17">
      <c r="B200" s="334"/>
      <c r="C200" s="725">
        <f>IF(D182="","-",+C199+1)</f>
        <v>2023</v>
      </c>
      <c r="D200" s="676">
        <f t="shared" si="22"/>
        <v>2014608</v>
      </c>
      <c r="E200" s="732">
        <f t="shared" si="23"/>
        <v>41971</v>
      </c>
      <c r="F200" s="732">
        <f t="shared" si="16"/>
        <v>1972637</v>
      </c>
      <c r="G200" s="676">
        <f t="shared" si="17"/>
        <v>1993622.5</v>
      </c>
      <c r="H200" s="726">
        <f>+J183*G200+E200</f>
        <v>257095.58608516579</v>
      </c>
      <c r="I200" s="733">
        <f>+J184*G200+E200</f>
        <v>257095.58608516579</v>
      </c>
      <c r="J200" s="729">
        <f t="shared" si="18"/>
        <v>0</v>
      </c>
      <c r="K200" s="729"/>
      <c r="L200" s="734"/>
      <c r="M200" s="729">
        <f t="shared" si="19"/>
        <v>0</v>
      </c>
      <c r="N200" s="734"/>
      <c r="O200" s="729">
        <f t="shared" si="20"/>
        <v>0</v>
      </c>
      <c r="P200" s="729">
        <f t="shared" si="21"/>
        <v>0</v>
      </c>
      <c r="Q200" s="677"/>
    </row>
    <row r="201" spans="2:17">
      <c r="B201" s="334"/>
      <c r="C201" s="725">
        <f>IF(D182="","-",+C200+1)</f>
        <v>2024</v>
      </c>
      <c r="D201" s="676">
        <f t="shared" si="22"/>
        <v>1972637</v>
      </c>
      <c r="E201" s="732">
        <f t="shared" si="23"/>
        <v>41971</v>
      </c>
      <c r="F201" s="732">
        <f t="shared" si="16"/>
        <v>1930666</v>
      </c>
      <c r="G201" s="676">
        <f t="shared" si="17"/>
        <v>1951651.5</v>
      </c>
      <c r="H201" s="726">
        <f>+J183*G201+E201</f>
        <v>252566.64743074123</v>
      </c>
      <c r="I201" s="733">
        <f>+J184*G201+E201</f>
        <v>252566.64743074123</v>
      </c>
      <c r="J201" s="729">
        <f t="shared" si="18"/>
        <v>0</v>
      </c>
      <c r="K201" s="729"/>
      <c r="L201" s="734"/>
      <c r="M201" s="729">
        <f t="shared" si="19"/>
        <v>0</v>
      </c>
      <c r="N201" s="734"/>
      <c r="O201" s="729">
        <f t="shared" si="20"/>
        <v>0</v>
      </c>
      <c r="P201" s="729">
        <f t="shared" si="21"/>
        <v>0</v>
      </c>
      <c r="Q201" s="677"/>
    </row>
    <row r="202" spans="2:17">
      <c r="B202" s="334"/>
      <c r="C202" s="725">
        <f>IF(D182="","-",+C201+1)</f>
        <v>2025</v>
      </c>
      <c r="D202" s="676">
        <f t="shared" si="22"/>
        <v>1930666</v>
      </c>
      <c r="E202" s="732">
        <f t="shared" si="23"/>
        <v>41971</v>
      </c>
      <c r="F202" s="732">
        <f t="shared" si="16"/>
        <v>1888695</v>
      </c>
      <c r="G202" s="676">
        <f t="shared" si="17"/>
        <v>1909680.5</v>
      </c>
      <c r="H202" s="726">
        <f>+J183*G202+E202</f>
        <v>248037.70877631669</v>
      </c>
      <c r="I202" s="733">
        <f>+J184*G202+E202</f>
        <v>248037.70877631669</v>
      </c>
      <c r="J202" s="729">
        <f t="shared" si="18"/>
        <v>0</v>
      </c>
      <c r="K202" s="729"/>
      <c r="L202" s="734"/>
      <c r="M202" s="729">
        <f t="shared" si="19"/>
        <v>0</v>
      </c>
      <c r="N202" s="734"/>
      <c r="O202" s="729">
        <f t="shared" si="20"/>
        <v>0</v>
      </c>
      <c r="P202" s="729">
        <f t="shared" si="21"/>
        <v>0</v>
      </c>
      <c r="Q202" s="677"/>
    </row>
    <row r="203" spans="2:17">
      <c r="B203" s="334"/>
      <c r="C203" s="725">
        <f>IF(D182="","-",+C202+1)</f>
        <v>2026</v>
      </c>
      <c r="D203" s="676">
        <f t="shared" si="22"/>
        <v>1888695</v>
      </c>
      <c r="E203" s="732">
        <f t="shared" si="23"/>
        <v>41971</v>
      </c>
      <c r="F203" s="732">
        <f t="shared" si="16"/>
        <v>1846724</v>
      </c>
      <c r="G203" s="676">
        <f t="shared" si="17"/>
        <v>1867709.5</v>
      </c>
      <c r="H203" s="726">
        <f>+J183*G203+E203</f>
        <v>243508.77012189216</v>
      </c>
      <c r="I203" s="733">
        <f>+J184*G203+E203</f>
        <v>243508.77012189216</v>
      </c>
      <c r="J203" s="729">
        <f t="shared" si="18"/>
        <v>0</v>
      </c>
      <c r="K203" s="729"/>
      <c r="L203" s="734"/>
      <c r="M203" s="729">
        <f t="shared" si="19"/>
        <v>0</v>
      </c>
      <c r="N203" s="734"/>
      <c r="O203" s="729">
        <f t="shared" si="20"/>
        <v>0</v>
      </c>
      <c r="P203" s="729">
        <f t="shared" si="21"/>
        <v>0</v>
      </c>
      <c r="Q203" s="677"/>
    </row>
    <row r="204" spans="2:17">
      <c r="B204" s="334"/>
      <c r="C204" s="725">
        <f>IF(D182="","-",+C203+1)</f>
        <v>2027</v>
      </c>
      <c r="D204" s="676">
        <f t="shared" si="22"/>
        <v>1846724</v>
      </c>
      <c r="E204" s="732">
        <f t="shared" si="23"/>
        <v>41971</v>
      </c>
      <c r="F204" s="732">
        <f t="shared" si="16"/>
        <v>1804753</v>
      </c>
      <c r="G204" s="676">
        <f t="shared" si="17"/>
        <v>1825738.5</v>
      </c>
      <c r="H204" s="726">
        <f>+J183*G204+E204</f>
        <v>238979.83146746762</v>
      </c>
      <c r="I204" s="733">
        <f>+J184*G204+E204</f>
        <v>238979.83146746762</v>
      </c>
      <c r="J204" s="729">
        <f t="shared" si="18"/>
        <v>0</v>
      </c>
      <c r="K204" s="729"/>
      <c r="L204" s="734"/>
      <c r="M204" s="729">
        <f t="shared" si="19"/>
        <v>0</v>
      </c>
      <c r="N204" s="734"/>
      <c r="O204" s="729">
        <f t="shared" si="20"/>
        <v>0</v>
      </c>
      <c r="P204" s="729">
        <f t="shared" si="21"/>
        <v>0</v>
      </c>
      <c r="Q204" s="677"/>
    </row>
    <row r="205" spans="2:17">
      <c r="B205" s="334"/>
      <c r="C205" s="725">
        <f>IF(D182="","-",+C204+1)</f>
        <v>2028</v>
      </c>
      <c r="D205" s="676">
        <f t="shared" si="22"/>
        <v>1804753</v>
      </c>
      <c r="E205" s="732">
        <f t="shared" si="23"/>
        <v>41971</v>
      </c>
      <c r="F205" s="732">
        <f t="shared" si="16"/>
        <v>1762782</v>
      </c>
      <c r="G205" s="676">
        <f t="shared" si="17"/>
        <v>1783767.5</v>
      </c>
      <c r="H205" s="726">
        <f>+J183*G205+E205</f>
        <v>234450.89281304306</v>
      </c>
      <c r="I205" s="733">
        <f>+J184*G205+E205</f>
        <v>234450.89281304306</v>
      </c>
      <c r="J205" s="729">
        <f t="shared" si="18"/>
        <v>0</v>
      </c>
      <c r="K205" s="729"/>
      <c r="L205" s="734"/>
      <c r="M205" s="729">
        <f t="shared" si="19"/>
        <v>0</v>
      </c>
      <c r="N205" s="734"/>
      <c r="O205" s="729">
        <f t="shared" si="20"/>
        <v>0</v>
      </c>
      <c r="P205" s="729">
        <f t="shared" si="21"/>
        <v>0</v>
      </c>
      <c r="Q205" s="677"/>
    </row>
    <row r="206" spans="2:17">
      <c r="B206" s="334"/>
      <c r="C206" s="725">
        <f>IF(D182="","-",+C205+1)</f>
        <v>2029</v>
      </c>
      <c r="D206" s="676">
        <f t="shared" si="22"/>
        <v>1762782</v>
      </c>
      <c r="E206" s="732">
        <f t="shared" si="23"/>
        <v>41971</v>
      </c>
      <c r="F206" s="732">
        <f t="shared" si="16"/>
        <v>1720811</v>
      </c>
      <c r="G206" s="676">
        <f t="shared" si="17"/>
        <v>1741796.5</v>
      </c>
      <c r="H206" s="726">
        <f>+J183*G206+E206</f>
        <v>229921.95415861852</v>
      </c>
      <c r="I206" s="733">
        <f>+J184*G206+E206</f>
        <v>229921.95415861852</v>
      </c>
      <c r="J206" s="729">
        <f t="shared" si="18"/>
        <v>0</v>
      </c>
      <c r="K206" s="729"/>
      <c r="L206" s="734"/>
      <c r="M206" s="729">
        <f t="shared" si="19"/>
        <v>0</v>
      </c>
      <c r="N206" s="734"/>
      <c r="O206" s="729">
        <f t="shared" si="20"/>
        <v>0</v>
      </c>
      <c r="P206" s="729">
        <f t="shared" si="21"/>
        <v>0</v>
      </c>
      <c r="Q206" s="677"/>
    </row>
    <row r="207" spans="2:17">
      <c r="B207" s="334"/>
      <c r="C207" s="725">
        <f>IF(D182="","-",+C206+1)</f>
        <v>2030</v>
      </c>
      <c r="D207" s="676">
        <f t="shared" si="22"/>
        <v>1720811</v>
      </c>
      <c r="E207" s="732">
        <f t="shared" si="23"/>
        <v>41971</v>
      </c>
      <c r="F207" s="732">
        <f t="shared" si="16"/>
        <v>1678840</v>
      </c>
      <c r="G207" s="676">
        <f t="shared" si="17"/>
        <v>1699825.5</v>
      </c>
      <c r="H207" s="726">
        <f>+J183*G207+E207</f>
        <v>225393.01550419399</v>
      </c>
      <c r="I207" s="733">
        <f>+J184*G207+E207</f>
        <v>225393.01550419399</v>
      </c>
      <c r="J207" s="729">
        <f t="shared" si="18"/>
        <v>0</v>
      </c>
      <c r="K207" s="729"/>
      <c r="L207" s="734"/>
      <c r="M207" s="729">
        <f t="shared" si="19"/>
        <v>0</v>
      </c>
      <c r="N207" s="734"/>
      <c r="O207" s="729">
        <f t="shared" si="20"/>
        <v>0</v>
      </c>
      <c r="P207" s="729">
        <f t="shared" si="21"/>
        <v>0</v>
      </c>
      <c r="Q207" s="677"/>
    </row>
    <row r="208" spans="2:17">
      <c r="B208" s="334"/>
      <c r="C208" s="725">
        <f>IF(D182="","-",+C207+1)</f>
        <v>2031</v>
      </c>
      <c r="D208" s="676">
        <f t="shared" si="22"/>
        <v>1678840</v>
      </c>
      <c r="E208" s="732">
        <f t="shared" si="23"/>
        <v>41971</v>
      </c>
      <c r="F208" s="732">
        <f t="shared" si="16"/>
        <v>1636869</v>
      </c>
      <c r="G208" s="676">
        <f t="shared" si="17"/>
        <v>1657854.5</v>
      </c>
      <c r="H208" s="726">
        <f>+J183*G208+E208</f>
        <v>220864.07684976945</v>
      </c>
      <c r="I208" s="733">
        <f>+J184*G208+E208</f>
        <v>220864.07684976945</v>
      </c>
      <c r="J208" s="729">
        <f t="shared" si="18"/>
        <v>0</v>
      </c>
      <c r="K208" s="729"/>
      <c r="L208" s="734"/>
      <c r="M208" s="729">
        <f t="shared" si="19"/>
        <v>0</v>
      </c>
      <c r="N208" s="734"/>
      <c r="O208" s="729">
        <f t="shared" si="20"/>
        <v>0</v>
      </c>
      <c r="P208" s="729">
        <f t="shared" si="21"/>
        <v>0</v>
      </c>
      <c r="Q208" s="677"/>
    </row>
    <row r="209" spans="2:17">
      <c r="B209" s="334"/>
      <c r="C209" s="725">
        <f>IF(D182="","-",+C208+1)</f>
        <v>2032</v>
      </c>
      <c r="D209" s="676">
        <f t="shared" si="22"/>
        <v>1636869</v>
      </c>
      <c r="E209" s="732">
        <f t="shared" si="23"/>
        <v>41971</v>
      </c>
      <c r="F209" s="732">
        <f t="shared" si="16"/>
        <v>1594898</v>
      </c>
      <c r="G209" s="676">
        <f t="shared" si="17"/>
        <v>1615883.5</v>
      </c>
      <c r="H209" s="726">
        <f>+J183*G209+E209</f>
        <v>216335.13819534489</v>
      </c>
      <c r="I209" s="733">
        <f>+J184*G209+E209</f>
        <v>216335.13819534489</v>
      </c>
      <c r="J209" s="729">
        <f t="shared" si="18"/>
        <v>0</v>
      </c>
      <c r="K209" s="729"/>
      <c r="L209" s="734"/>
      <c r="M209" s="729">
        <f t="shared" si="19"/>
        <v>0</v>
      </c>
      <c r="N209" s="734"/>
      <c r="O209" s="729">
        <f t="shared" si="20"/>
        <v>0</v>
      </c>
      <c r="P209" s="729">
        <f t="shared" si="21"/>
        <v>0</v>
      </c>
      <c r="Q209" s="677"/>
    </row>
    <row r="210" spans="2:17">
      <c r="B210" s="334"/>
      <c r="C210" s="725">
        <f>IF(D182="","-",+C209+1)</f>
        <v>2033</v>
      </c>
      <c r="D210" s="676">
        <f t="shared" si="22"/>
        <v>1594898</v>
      </c>
      <c r="E210" s="732">
        <f t="shared" si="23"/>
        <v>41971</v>
      </c>
      <c r="F210" s="732">
        <f t="shared" si="16"/>
        <v>1552927</v>
      </c>
      <c r="G210" s="676">
        <f t="shared" si="17"/>
        <v>1573912.5</v>
      </c>
      <c r="H210" s="726">
        <f>+J183*G210+E210</f>
        <v>211806.19954092035</v>
      </c>
      <c r="I210" s="733">
        <f>+J184*G210+E210</f>
        <v>211806.19954092035</v>
      </c>
      <c r="J210" s="729">
        <f t="shared" si="18"/>
        <v>0</v>
      </c>
      <c r="K210" s="729"/>
      <c r="L210" s="734"/>
      <c r="M210" s="729">
        <f t="shared" si="19"/>
        <v>0</v>
      </c>
      <c r="N210" s="734"/>
      <c r="O210" s="729">
        <f t="shared" si="20"/>
        <v>0</v>
      </c>
      <c r="P210" s="729">
        <f t="shared" si="21"/>
        <v>0</v>
      </c>
      <c r="Q210" s="677"/>
    </row>
    <row r="211" spans="2:17">
      <c r="B211" s="334"/>
      <c r="C211" s="725">
        <f>IF(D182="","-",+C210+1)</f>
        <v>2034</v>
      </c>
      <c r="D211" s="676">
        <f t="shared" si="22"/>
        <v>1552927</v>
      </c>
      <c r="E211" s="732">
        <f t="shared" si="23"/>
        <v>41971</v>
      </c>
      <c r="F211" s="732">
        <f t="shared" si="16"/>
        <v>1510956</v>
      </c>
      <c r="G211" s="676">
        <f t="shared" si="17"/>
        <v>1531941.5</v>
      </c>
      <c r="H211" s="726">
        <f>+J183*G211+E211</f>
        <v>207277.26088649582</v>
      </c>
      <c r="I211" s="733">
        <f>+J184*G211+E211</f>
        <v>207277.26088649582</v>
      </c>
      <c r="J211" s="729">
        <f t="shared" si="18"/>
        <v>0</v>
      </c>
      <c r="K211" s="729"/>
      <c r="L211" s="734"/>
      <c r="M211" s="729">
        <f t="shared" si="19"/>
        <v>0</v>
      </c>
      <c r="N211" s="734"/>
      <c r="O211" s="729">
        <f t="shared" si="20"/>
        <v>0</v>
      </c>
      <c r="P211" s="729">
        <f t="shared" si="21"/>
        <v>0</v>
      </c>
      <c r="Q211" s="677"/>
    </row>
    <row r="212" spans="2:17">
      <c r="B212" s="334"/>
      <c r="C212" s="725">
        <f>IF(D182="","-",+C211+1)</f>
        <v>2035</v>
      </c>
      <c r="D212" s="676">
        <f t="shared" si="22"/>
        <v>1510956</v>
      </c>
      <c r="E212" s="732">
        <f t="shared" si="23"/>
        <v>41971</v>
      </c>
      <c r="F212" s="732">
        <f t="shared" si="16"/>
        <v>1468985</v>
      </c>
      <c r="G212" s="676">
        <f t="shared" si="17"/>
        <v>1489970.5</v>
      </c>
      <c r="H212" s="726">
        <f>+J183*G212+E212</f>
        <v>202748.32223207128</v>
      </c>
      <c r="I212" s="733">
        <f>+J184*G212+E212</f>
        <v>202748.32223207128</v>
      </c>
      <c r="J212" s="729">
        <f t="shared" si="18"/>
        <v>0</v>
      </c>
      <c r="K212" s="729"/>
      <c r="L212" s="734"/>
      <c r="M212" s="729">
        <f t="shared" si="19"/>
        <v>0</v>
      </c>
      <c r="N212" s="734"/>
      <c r="O212" s="729">
        <f t="shared" si="20"/>
        <v>0</v>
      </c>
      <c r="P212" s="729">
        <f t="shared" si="21"/>
        <v>0</v>
      </c>
      <c r="Q212" s="677"/>
    </row>
    <row r="213" spans="2:17">
      <c r="B213" s="334"/>
      <c r="C213" s="725">
        <f>IF(D182="","-",+C212+1)</f>
        <v>2036</v>
      </c>
      <c r="D213" s="676">
        <f t="shared" si="22"/>
        <v>1468985</v>
      </c>
      <c r="E213" s="732">
        <f t="shared" si="23"/>
        <v>41971</v>
      </c>
      <c r="F213" s="732">
        <f t="shared" si="16"/>
        <v>1427014</v>
      </c>
      <c r="G213" s="676">
        <f t="shared" si="17"/>
        <v>1447999.5</v>
      </c>
      <c r="H213" s="726">
        <f>+J183*G213+E213</f>
        <v>198219.38357764672</v>
      </c>
      <c r="I213" s="733">
        <f>+J184*G213+E213</f>
        <v>198219.38357764672</v>
      </c>
      <c r="J213" s="729">
        <f t="shared" si="18"/>
        <v>0</v>
      </c>
      <c r="K213" s="729"/>
      <c r="L213" s="734"/>
      <c r="M213" s="729">
        <f t="shared" si="19"/>
        <v>0</v>
      </c>
      <c r="N213" s="734"/>
      <c r="O213" s="729">
        <f t="shared" si="20"/>
        <v>0</v>
      </c>
      <c r="P213" s="729">
        <f t="shared" si="21"/>
        <v>0</v>
      </c>
      <c r="Q213" s="677"/>
    </row>
    <row r="214" spans="2:17">
      <c r="B214" s="334"/>
      <c r="C214" s="725">
        <f>IF(D182="","-",+C213+1)</f>
        <v>2037</v>
      </c>
      <c r="D214" s="676">
        <f t="shared" si="22"/>
        <v>1427014</v>
      </c>
      <c r="E214" s="732">
        <f t="shared" si="23"/>
        <v>41971</v>
      </c>
      <c r="F214" s="732">
        <f t="shared" si="16"/>
        <v>1385043</v>
      </c>
      <c r="G214" s="676">
        <f t="shared" si="17"/>
        <v>1406028.5</v>
      </c>
      <c r="H214" s="726">
        <f>+J183*G214+E214</f>
        <v>193690.44492322218</v>
      </c>
      <c r="I214" s="733">
        <f>+J184*G214+E214</f>
        <v>193690.44492322218</v>
      </c>
      <c r="J214" s="729">
        <f t="shared" si="18"/>
        <v>0</v>
      </c>
      <c r="K214" s="729"/>
      <c r="L214" s="734"/>
      <c r="M214" s="729">
        <f t="shared" si="19"/>
        <v>0</v>
      </c>
      <c r="N214" s="734"/>
      <c r="O214" s="729">
        <f t="shared" si="20"/>
        <v>0</v>
      </c>
      <c r="P214" s="729">
        <f t="shared" si="21"/>
        <v>0</v>
      </c>
      <c r="Q214" s="677"/>
    </row>
    <row r="215" spans="2:17">
      <c r="B215" s="334"/>
      <c r="C215" s="725">
        <f>IF(D182="","-",+C214+1)</f>
        <v>2038</v>
      </c>
      <c r="D215" s="676">
        <f t="shared" si="22"/>
        <v>1385043</v>
      </c>
      <c r="E215" s="732">
        <f t="shared" si="23"/>
        <v>41971</v>
      </c>
      <c r="F215" s="732">
        <f t="shared" si="16"/>
        <v>1343072</v>
      </c>
      <c r="G215" s="676">
        <f t="shared" si="17"/>
        <v>1364057.5</v>
      </c>
      <c r="H215" s="726">
        <f>+J183*G215+E215</f>
        <v>189161.50626879765</v>
      </c>
      <c r="I215" s="733">
        <f>+J184*G215+E215</f>
        <v>189161.50626879765</v>
      </c>
      <c r="J215" s="729">
        <f t="shared" si="18"/>
        <v>0</v>
      </c>
      <c r="K215" s="729"/>
      <c r="L215" s="734"/>
      <c r="M215" s="729">
        <f t="shared" si="19"/>
        <v>0</v>
      </c>
      <c r="N215" s="734"/>
      <c r="O215" s="729">
        <f t="shared" si="20"/>
        <v>0</v>
      </c>
      <c r="P215" s="729">
        <f t="shared" si="21"/>
        <v>0</v>
      </c>
      <c r="Q215" s="677"/>
    </row>
    <row r="216" spans="2:17">
      <c r="B216" s="334"/>
      <c r="C216" s="725">
        <f>IF(D182="","-",+C215+1)</f>
        <v>2039</v>
      </c>
      <c r="D216" s="676">
        <f t="shared" si="22"/>
        <v>1343072</v>
      </c>
      <c r="E216" s="732">
        <f t="shared" si="23"/>
        <v>41971</v>
      </c>
      <c r="F216" s="732">
        <f t="shared" si="16"/>
        <v>1301101</v>
      </c>
      <c r="G216" s="676">
        <f t="shared" si="17"/>
        <v>1322086.5</v>
      </c>
      <c r="H216" s="726">
        <f>+J183*G216+E216</f>
        <v>184632.56761437311</v>
      </c>
      <c r="I216" s="733">
        <f>+J184*G216+E216</f>
        <v>184632.56761437311</v>
      </c>
      <c r="J216" s="729">
        <f t="shared" si="18"/>
        <v>0</v>
      </c>
      <c r="K216" s="729"/>
      <c r="L216" s="734"/>
      <c r="M216" s="729">
        <f t="shared" si="19"/>
        <v>0</v>
      </c>
      <c r="N216" s="734"/>
      <c r="O216" s="729">
        <f t="shared" si="20"/>
        <v>0</v>
      </c>
      <c r="P216" s="729">
        <f t="shared" si="21"/>
        <v>0</v>
      </c>
      <c r="Q216" s="677"/>
    </row>
    <row r="217" spans="2:17">
      <c r="B217" s="334"/>
      <c r="C217" s="725">
        <f>IF(D182="","-",+C216+1)</f>
        <v>2040</v>
      </c>
      <c r="D217" s="676">
        <f t="shared" si="22"/>
        <v>1301101</v>
      </c>
      <c r="E217" s="732">
        <f t="shared" si="23"/>
        <v>41971</v>
      </c>
      <c r="F217" s="732">
        <f t="shared" si="16"/>
        <v>1259130</v>
      </c>
      <c r="G217" s="676">
        <f t="shared" si="17"/>
        <v>1280115.5</v>
      </c>
      <c r="H217" s="726">
        <f>+J183*G217+E217</f>
        <v>180103.62895994855</v>
      </c>
      <c r="I217" s="733">
        <f>+J184*G217+E217</f>
        <v>180103.62895994855</v>
      </c>
      <c r="J217" s="729">
        <f t="shared" si="18"/>
        <v>0</v>
      </c>
      <c r="K217" s="729"/>
      <c r="L217" s="734"/>
      <c r="M217" s="729">
        <f t="shared" si="19"/>
        <v>0</v>
      </c>
      <c r="N217" s="734"/>
      <c r="O217" s="729">
        <f t="shared" si="20"/>
        <v>0</v>
      </c>
      <c r="P217" s="729">
        <f t="shared" si="21"/>
        <v>0</v>
      </c>
      <c r="Q217" s="677"/>
    </row>
    <row r="218" spans="2:17">
      <c r="B218" s="334"/>
      <c r="C218" s="725">
        <f>IF(D182="","-",+C217+1)</f>
        <v>2041</v>
      </c>
      <c r="D218" s="676">
        <f t="shared" si="22"/>
        <v>1259130</v>
      </c>
      <c r="E218" s="732">
        <f t="shared" si="23"/>
        <v>41971</v>
      </c>
      <c r="F218" s="732">
        <f t="shared" si="16"/>
        <v>1217159</v>
      </c>
      <c r="G218" s="676">
        <f t="shared" si="17"/>
        <v>1238144.5</v>
      </c>
      <c r="H218" s="726">
        <f>+J183*G218+E218</f>
        <v>175574.69030552401</v>
      </c>
      <c r="I218" s="733">
        <f>+J184*G218+E218</f>
        <v>175574.69030552401</v>
      </c>
      <c r="J218" s="729">
        <f t="shared" si="18"/>
        <v>0</v>
      </c>
      <c r="K218" s="729"/>
      <c r="L218" s="734"/>
      <c r="M218" s="729">
        <f t="shared" si="19"/>
        <v>0</v>
      </c>
      <c r="N218" s="734"/>
      <c r="O218" s="729">
        <f t="shared" si="20"/>
        <v>0</v>
      </c>
      <c r="P218" s="729">
        <f t="shared" si="21"/>
        <v>0</v>
      </c>
      <c r="Q218" s="677"/>
    </row>
    <row r="219" spans="2:17">
      <c r="B219" s="334"/>
      <c r="C219" s="725">
        <f>IF(D182="","-",+C218+1)</f>
        <v>2042</v>
      </c>
      <c r="D219" s="676">
        <f t="shared" si="22"/>
        <v>1217159</v>
      </c>
      <c r="E219" s="732">
        <f t="shared" si="23"/>
        <v>41971</v>
      </c>
      <c r="F219" s="732">
        <f t="shared" si="16"/>
        <v>1175188</v>
      </c>
      <c r="G219" s="676">
        <f t="shared" si="17"/>
        <v>1196173.5</v>
      </c>
      <c r="H219" s="726">
        <f>+J183*G219+E219</f>
        <v>171045.75165109948</v>
      </c>
      <c r="I219" s="733">
        <f>+J184*G219+E219</f>
        <v>171045.75165109948</v>
      </c>
      <c r="J219" s="729">
        <f t="shared" si="18"/>
        <v>0</v>
      </c>
      <c r="K219" s="729"/>
      <c r="L219" s="734"/>
      <c r="M219" s="729">
        <f t="shared" si="19"/>
        <v>0</v>
      </c>
      <c r="N219" s="734"/>
      <c r="O219" s="729">
        <f t="shared" si="20"/>
        <v>0</v>
      </c>
      <c r="P219" s="729">
        <f t="shared" si="21"/>
        <v>0</v>
      </c>
      <c r="Q219" s="677"/>
    </row>
    <row r="220" spans="2:17">
      <c r="B220" s="334"/>
      <c r="C220" s="725">
        <f>IF(D182="","-",+C219+1)</f>
        <v>2043</v>
      </c>
      <c r="D220" s="676">
        <f t="shared" si="22"/>
        <v>1175188</v>
      </c>
      <c r="E220" s="732">
        <f t="shared" si="23"/>
        <v>41971</v>
      </c>
      <c r="F220" s="732">
        <f t="shared" si="16"/>
        <v>1133217</v>
      </c>
      <c r="G220" s="676">
        <f t="shared" si="17"/>
        <v>1154202.5</v>
      </c>
      <c r="H220" s="726">
        <f>+J183*G220+E220</f>
        <v>166516.81299667491</v>
      </c>
      <c r="I220" s="733">
        <f>+J184*G220+E220</f>
        <v>166516.81299667491</v>
      </c>
      <c r="J220" s="729">
        <f t="shared" si="18"/>
        <v>0</v>
      </c>
      <c r="K220" s="729"/>
      <c r="L220" s="734"/>
      <c r="M220" s="729">
        <f t="shared" si="19"/>
        <v>0</v>
      </c>
      <c r="N220" s="734"/>
      <c r="O220" s="729">
        <f t="shared" si="20"/>
        <v>0</v>
      </c>
      <c r="P220" s="729">
        <f t="shared" si="21"/>
        <v>0</v>
      </c>
      <c r="Q220" s="677"/>
    </row>
    <row r="221" spans="2:17">
      <c r="B221" s="334"/>
      <c r="C221" s="725">
        <f>IF(D182="","-",+C220+1)</f>
        <v>2044</v>
      </c>
      <c r="D221" s="676">
        <f t="shared" si="22"/>
        <v>1133217</v>
      </c>
      <c r="E221" s="732">
        <f t="shared" si="23"/>
        <v>41971</v>
      </c>
      <c r="F221" s="732">
        <f t="shared" si="16"/>
        <v>1091246</v>
      </c>
      <c r="G221" s="676">
        <f t="shared" si="17"/>
        <v>1112231.5</v>
      </c>
      <c r="H221" s="726">
        <f>+J183*G221+E221</f>
        <v>161987.8743422504</v>
      </c>
      <c r="I221" s="733">
        <f>+J184*G221+E221</f>
        <v>161987.8743422504</v>
      </c>
      <c r="J221" s="729">
        <f t="shared" si="18"/>
        <v>0</v>
      </c>
      <c r="K221" s="729"/>
      <c r="L221" s="734"/>
      <c r="M221" s="729">
        <f t="shared" si="19"/>
        <v>0</v>
      </c>
      <c r="N221" s="734"/>
      <c r="O221" s="729">
        <f t="shared" si="20"/>
        <v>0</v>
      </c>
      <c r="P221" s="729">
        <f t="shared" si="21"/>
        <v>0</v>
      </c>
      <c r="Q221" s="677"/>
    </row>
    <row r="222" spans="2:17">
      <c r="B222" s="334"/>
      <c r="C222" s="725">
        <f>IF(D182="","-",+C221+1)</f>
        <v>2045</v>
      </c>
      <c r="D222" s="676">
        <f t="shared" si="22"/>
        <v>1091246</v>
      </c>
      <c r="E222" s="732">
        <f t="shared" si="23"/>
        <v>41971</v>
      </c>
      <c r="F222" s="732">
        <f t="shared" si="16"/>
        <v>1049275</v>
      </c>
      <c r="G222" s="676">
        <f t="shared" si="17"/>
        <v>1070260.5</v>
      </c>
      <c r="H222" s="726">
        <f>+J183*G222+E222</f>
        <v>157458.93568782584</v>
      </c>
      <c r="I222" s="733">
        <f>+J184*G222+E222</f>
        <v>157458.93568782584</v>
      </c>
      <c r="J222" s="729">
        <f t="shared" si="18"/>
        <v>0</v>
      </c>
      <c r="K222" s="729"/>
      <c r="L222" s="734"/>
      <c r="M222" s="729">
        <f t="shared" si="19"/>
        <v>0</v>
      </c>
      <c r="N222" s="734"/>
      <c r="O222" s="729">
        <f t="shared" si="20"/>
        <v>0</v>
      </c>
      <c r="P222" s="729">
        <f t="shared" si="21"/>
        <v>0</v>
      </c>
      <c r="Q222" s="677"/>
    </row>
    <row r="223" spans="2:17">
      <c r="B223" s="334"/>
      <c r="C223" s="725">
        <f>IF(D182="","-",+C222+1)</f>
        <v>2046</v>
      </c>
      <c r="D223" s="676">
        <f t="shared" si="22"/>
        <v>1049275</v>
      </c>
      <c r="E223" s="732">
        <f t="shared" si="23"/>
        <v>41971</v>
      </c>
      <c r="F223" s="732">
        <f t="shared" si="16"/>
        <v>1007304</v>
      </c>
      <c r="G223" s="676">
        <f t="shared" si="17"/>
        <v>1028289.5</v>
      </c>
      <c r="H223" s="726">
        <f>+J183*G223+E223</f>
        <v>152929.99703340131</v>
      </c>
      <c r="I223" s="733">
        <f>+J184*G223+E223</f>
        <v>152929.99703340131</v>
      </c>
      <c r="J223" s="729">
        <f t="shared" si="18"/>
        <v>0</v>
      </c>
      <c r="K223" s="729"/>
      <c r="L223" s="734"/>
      <c r="M223" s="729">
        <f t="shared" si="19"/>
        <v>0</v>
      </c>
      <c r="N223" s="734"/>
      <c r="O223" s="729">
        <f t="shared" si="20"/>
        <v>0</v>
      </c>
      <c r="P223" s="729">
        <f t="shared" si="21"/>
        <v>0</v>
      </c>
      <c r="Q223" s="677"/>
    </row>
    <row r="224" spans="2:17">
      <c r="B224" s="334"/>
      <c r="C224" s="725">
        <f>IF(D182="","-",+C223+1)</f>
        <v>2047</v>
      </c>
      <c r="D224" s="676">
        <f t="shared" si="22"/>
        <v>1007304</v>
      </c>
      <c r="E224" s="732">
        <f t="shared" si="23"/>
        <v>41971</v>
      </c>
      <c r="F224" s="732">
        <f t="shared" si="16"/>
        <v>965333</v>
      </c>
      <c r="G224" s="676">
        <f t="shared" si="17"/>
        <v>986318.5</v>
      </c>
      <c r="H224" s="726">
        <f>+J183*G224+E224</f>
        <v>148401.05837897677</v>
      </c>
      <c r="I224" s="733">
        <f>+J184*G224+E224</f>
        <v>148401.05837897677</v>
      </c>
      <c r="J224" s="729">
        <f t="shared" si="18"/>
        <v>0</v>
      </c>
      <c r="K224" s="729"/>
      <c r="L224" s="734"/>
      <c r="M224" s="729">
        <f t="shared" si="19"/>
        <v>0</v>
      </c>
      <c r="N224" s="734"/>
      <c r="O224" s="729">
        <f t="shared" si="20"/>
        <v>0</v>
      </c>
      <c r="P224" s="729">
        <f t="shared" si="21"/>
        <v>0</v>
      </c>
      <c r="Q224" s="677"/>
    </row>
    <row r="225" spans="2:17">
      <c r="B225" s="334"/>
      <c r="C225" s="725">
        <f>IF(D182="","-",+C224+1)</f>
        <v>2048</v>
      </c>
      <c r="D225" s="676">
        <f t="shared" si="22"/>
        <v>965333</v>
      </c>
      <c r="E225" s="732">
        <f t="shared" si="23"/>
        <v>41971</v>
      </c>
      <c r="F225" s="732">
        <f t="shared" si="16"/>
        <v>923362</v>
      </c>
      <c r="G225" s="676">
        <f t="shared" si="17"/>
        <v>944347.5</v>
      </c>
      <c r="H225" s="726">
        <f>+J183*G225+E225</f>
        <v>143872.11972455221</v>
      </c>
      <c r="I225" s="733">
        <f>+J184*G225+E225</f>
        <v>143872.11972455221</v>
      </c>
      <c r="J225" s="729">
        <f t="shared" si="18"/>
        <v>0</v>
      </c>
      <c r="K225" s="729"/>
      <c r="L225" s="734"/>
      <c r="M225" s="729">
        <f t="shared" si="19"/>
        <v>0</v>
      </c>
      <c r="N225" s="734"/>
      <c r="O225" s="729">
        <f t="shared" si="20"/>
        <v>0</v>
      </c>
      <c r="P225" s="729">
        <f t="shared" si="21"/>
        <v>0</v>
      </c>
      <c r="Q225" s="677"/>
    </row>
    <row r="226" spans="2:17">
      <c r="B226" s="334"/>
      <c r="C226" s="725">
        <f>IF(D182="","-",+C225+1)</f>
        <v>2049</v>
      </c>
      <c r="D226" s="676">
        <f t="shared" si="22"/>
        <v>923362</v>
      </c>
      <c r="E226" s="732">
        <f t="shared" si="23"/>
        <v>41971</v>
      </c>
      <c r="F226" s="732">
        <f t="shared" si="16"/>
        <v>881391</v>
      </c>
      <c r="G226" s="676">
        <f t="shared" si="17"/>
        <v>902376.5</v>
      </c>
      <c r="H226" s="726">
        <f>+J183*G226+E226</f>
        <v>139343.18107012767</v>
      </c>
      <c r="I226" s="733">
        <f>+J184*G226+E226</f>
        <v>139343.18107012767</v>
      </c>
      <c r="J226" s="729">
        <f t="shared" si="18"/>
        <v>0</v>
      </c>
      <c r="K226" s="729"/>
      <c r="L226" s="734"/>
      <c r="M226" s="729">
        <f t="shared" si="19"/>
        <v>0</v>
      </c>
      <c r="N226" s="734"/>
      <c r="O226" s="729">
        <f t="shared" si="20"/>
        <v>0</v>
      </c>
      <c r="P226" s="729">
        <f t="shared" si="21"/>
        <v>0</v>
      </c>
      <c r="Q226" s="677"/>
    </row>
    <row r="227" spans="2:17">
      <c r="B227" s="334"/>
      <c r="C227" s="725">
        <f>IF(D182="","-",+C226+1)</f>
        <v>2050</v>
      </c>
      <c r="D227" s="676">
        <f t="shared" si="22"/>
        <v>881391</v>
      </c>
      <c r="E227" s="732">
        <f t="shared" si="23"/>
        <v>41971</v>
      </c>
      <c r="F227" s="732">
        <f t="shared" si="16"/>
        <v>839420</v>
      </c>
      <c r="G227" s="676">
        <f t="shared" si="17"/>
        <v>860405.5</v>
      </c>
      <c r="H227" s="726">
        <f>+J183*G227+E227</f>
        <v>134814.24241570313</v>
      </c>
      <c r="I227" s="733">
        <f>+J184*G227+E227</f>
        <v>134814.24241570313</v>
      </c>
      <c r="J227" s="729">
        <f t="shared" si="18"/>
        <v>0</v>
      </c>
      <c r="K227" s="729"/>
      <c r="L227" s="734"/>
      <c r="M227" s="729">
        <f t="shared" si="19"/>
        <v>0</v>
      </c>
      <c r="N227" s="734"/>
      <c r="O227" s="729">
        <f t="shared" si="20"/>
        <v>0</v>
      </c>
      <c r="P227" s="729">
        <f t="shared" si="21"/>
        <v>0</v>
      </c>
      <c r="Q227" s="677"/>
    </row>
    <row r="228" spans="2:17">
      <c r="B228" s="334"/>
      <c r="C228" s="725">
        <f>IF(D182="","-",+C227+1)</f>
        <v>2051</v>
      </c>
      <c r="D228" s="676">
        <f t="shared" si="22"/>
        <v>839420</v>
      </c>
      <c r="E228" s="732">
        <f t="shared" si="23"/>
        <v>41971</v>
      </c>
      <c r="F228" s="732">
        <f t="shared" si="16"/>
        <v>797449</v>
      </c>
      <c r="G228" s="676">
        <f t="shared" si="17"/>
        <v>818434.5</v>
      </c>
      <c r="H228" s="726">
        <f>+J183*G228+E228</f>
        <v>130285.30376127858</v>
      </c>
      <c r="I228" s="733">
        <f>+J184*G228+E228</f>
        <v>130285.30376127858</v>
      </c>
      <c r="J228" s="729">
        <f t="shared" si="18"/>
        <v>0</v>
      </c>
      <c r="K228" s="729"/>
      <c r="L228" s="734"/>
      <c r="M228" s="729">
        <f t="shared" si="19"/>
        <v>0</v>
      </c>
      <c r="N228" s="734"/>
      <c r="O228" s="729">
        <f t="shared" si="20"/>
        <v>0</v>
      </c>
      <c r="P228" s="729">
        <f t="shared" si="21"/>
        <v>0</v>
      </c>
      <c r="Q228" s="677"/>
    </row>
    <row r="229" spans="2:17">
      <c r="B229" s="334"/>
      <c r="C229" s="725">
        <f>IF(D182="","-",+C228+1)</f>
        <v>2052</v>
      </c>
      <c r="D229" s="676">
        <f t="shared" si="22"/>
        <v>797449</v>
      </c>
      <c r="E229" s="732">
        <f t="shared" si="23"/>
        <v>41971</v>
      </c>
      <c r="F229" s="732">
        <f t="shared" si="16"/>
        <v>755478</v>
      </c>
      <c r="G229" s="676">
        <f t="shared" si="17"/>
        <v>776463.5</v>
      </c>
      <c r="H229" s="726">
        <f>+J183*G229+E229</f>
        <v>125756.36510685403</v>
      </c>
      <c r="I229" s="733">
        <f>+J184*G229+E229</f>
        <v>125756.36510685403</v>
      </c>
      <c r="J229" s="729">
        <f t="shared" si="18"/>
        <v>0</v>
      </c>
      <c r="K229" s="729"/>
      <c r="L229" s="734"/>
      <c r="M229" s="729">
        <f t="shared" si="19"/>
        <v>0</v>
      </c>
      <c r="N229" s="734"/>
      <c r="O229" s="729">
        <f t="shared" si="20"/>
        <v>0</v>
      </c>
      <c r="P229" s="729">
        <f t="shared" si="21"/>
        <v>0</v>
      </c>
      <c r="Q229" s="677"/>
    </row>
    <row r="230" spans="2:17">
      <c r="B230" s="334"/>
      <c r="C230" s="725">
        <f>IF(D182="","-",+C229+1)</f>
        <v>2053</v>
      </c>
      <c r="D230" s="676">
        <f t="shared" si="22"/>
        <v>755478</v>
      </c>
      <c r="E230" s="732">
        <f t="shared" si="23"/>
        <v>41971</v>
      </c>
      <c r="F230" s="732">
        <f t="shared" si="16"/>
        <v>713507</v>
      </c>
      <c r="G230" s="676">
        <f t="shared" si="17"/>
        <v>734492.5</v>
      </c>
      <c r="H230" s="726">
        <f>+J183*G230+E230</f>
        <v>121227.4264524295</v>
      </c>
      <c r="I230" s="733">
        <f>+J184*G230+E230</f>
        <v>121227.4264524295</v>
      </c>
      <c r="J230" s="729">
        <f t="shared" si="18"/>
        <v>0</v>
      </c>
      <c r="K230" s="729"/>
      <c r="L230" s="734"/>
      <c r="M230" s="729">
        <f t="shared" si="19"/>
        <v>0</v>
      </c>
      <c r="N230" s="734"/>
      <c r="O230" s="729">
        <f t="shared" si="20"/>
        <v>0</v>
      </c>
      <c r="P230" s="729">
        <f t="shared" si="21"/>
        <v>0</v>
      </c>
      <c r="Q230" s="677"/>
    </row>
    <row r="231" spans="2:17">
      <c r="B231" s="334"/>
      <c r="C231" s="725">
        <f>IF(D182="","-",+C230+1)</f>
        <v>2054</v>
      </c>
      <c r="D231" s="676">
        <f t="shared" si="22"/>
        <v>713507</v>
      </c>
      <c r="E231" s="732">
        <f t="shared" si="23"/>
        <v>41971</v>
      </c>
      <c r="F231" s="732">
        <f t="shared" si="16"/>
        <v>671536</v>
      </c>
      <c r="G231" s="676">
        <f t="shared" si="17"/>
        <v>692521.5</v>
      </c>
      <c r="H231" s="726">
        <f>+J183*G231+E231</f>
        <v>116698.48779800495</v>
      </c>
      <c r="I231" s="733">
        <f>+J184*G231+E231</f>
        <v>116698.48779800495</v>
      </c>
      <c r="J231" s="729">
        <f t="shared" si="18"/>
        <v>0</v>
      </c>
      <c r="K231" s="729"/>
      <c r="L231" s="734"/>
      <c r="M231" s="729">
        <f t="shared" si="19"/>
        <v>0</v>
      </c>
      <c r="N231" s="734"/>
      <c r="O231" s="729">
        <f t="shared" si="20"/>
        <v>0</v>
      </c>
      <c r="P231" s="729">
        <f t="shared" si="21"/>
        <v>0</v>
      </c>
      <c r="Q231" s="677"/>
    </row>
    <row r="232" spans="2:17">
      <c r="B232" s="334"/>
      <c r="C232" s="725">
        <f>IF(D182="","-",+C231+1)</f>
        <v>2055</v>
      </c>
      <c r="D232" s="676">
        <f t="shared" si="22"/>
        <v>671536</v>
      </c>
      <c r="E232" s="732">
        <f t="shared" si="23"/>
        <v>41971</v>
      </c>
      <c r="F232" s="732">
        <f t="shared" si="16"/>
        <v>629565</v>
      </c>
      <c r="G232" s="676">
        <f t="shared" si="17"/>
        <v>650550.5</v>
      </c>
      <c r="H232" s="726">
        <f>+J183*G232+E232</f>
        <v>112169.54914358041</v>
      </c>
      <c r="I232" s="733">
        <f>+J184*G232+E232</f>
        <v>112169.54914358041</v>
      </c>
      <c r="J232" s="729">
        <f t="shared" si="18"/>
        <v>0</v>
      </c>
      <c r="K232" s="729"/>
      <c r="L232" s="734"/>
      <c r="M232" s="729">
        <f t="shared" si="19"/>
        <v>0</v>
      </c>
      <c r="N232" s="734"/>
      <c r="O232" s="729">
        <f t="shared" si="20"/>
        <v>0</v>
      </c>
      <c r="P232" s="729">
        <f t="shared" si="21"/>
        <v>0</v>
      </c>
      <c r="Q232" s="677"/>
    </row>
    <row r="233" spans="2:17">
      <c r="B233" s="334"/>
      <c r="C233" s="725">
        <f>IF(D182="","-",+C232+1)</f>
        <v>2056</v>
      </c>
      <c r="D233" s="676">
        <f t="shared" si="22"/>
        <v>629565</v>
      </c>
      <c r="E233" s="732">
        <f t="shared" si="23"/>
        <v>41971</v>
      </c>
      <c r="F233" s="732">
        <f t="shared" si="16"/>
        <v>587594</v>
      </c>
      <c r="G233" s="676">
        <f t="shared" si="17"/>
        <v>608579.5</v>
      </c>
      <c r="H233" s="726">
        <f>+J183*G233+E233</f>
        <v>107640.61048915586</v>
      </c>
      <c r="I233" s="733">
        <f>+J184*G233+E233</f>
        <v>107640.61048915586</v>
      </c>
      <c r="J233" s="729">
        <f t="shared" si="18"/>
        <v>0</v>
      </c>
      <c r="K233" s="729"/>
      <c r="L233" s="734"/>
      <c r="M233" s="729">
        <f t="shared" si="19"/>
        <v>0</v>
      </c>
      <c r="N233" s="734"/>
      <c r="O233" s="729">
        <f t="shared" si="20"/>
        <v>0</v>
      </c>
      <c r="P233" s="729">
        <f t="shared" si="21"/>
        <v>0</v>
      </c>
      <c r="Q233" s="677"/>
    </row>
    <row r="234" spans="2:17">
      <c r="B234" s="334"/>
      <c r="C234" s="725">
        <f>IF(D182="","-",+C233+1)</f>
        <v>2057</v>
      </c>
      <c r="D234" s="676">
        <f t="shared" si="22"/>
        <v>587594</v>
      </c>
      <c r="E234" s="732">
        <f t="shared" si="23"/>
        <v>41971</v>
      </c>
      <c r="F234" s="732">
        <f t="shared" si="16"/>
        <v>545623</v>
      </c>
      <c r="G234" s="676">
        <f t="shared" si="17"/>
        <v>566608.5</v>
      </c>
      <c r="H234" s="726">
        <f>+J183*G234+E234</f>
        <v>103111.67183473133</v>
      </c>
      <c r="I234" s="733">
        <f>+J184*G234+E234</f>
        <v>103111.67183473133</v>
      </c>
      <c r="J234" s="729">
        <f t="shared" si="18"/>
        <v>0</v>
      </c>
      <c r="K234" s="729"/>
      <c r="L234" s="734"/>
      <c r="M234" s="729">
        <f t="shared" si="19"/>
        <v>0</v>
      </c>
      <c r="N234" s="734"/>
      <c r="O234" s="729">
        <f t="shared" si="20"/>
        <v>0</v>
      </c>
      <c r="P234" s="729">
        <f t="shared" si="21"/>
        <v>0</v>
      </c>
      <c r="Q234" s="677"/>
    </row>
    <row r="235" spans="2:17">
      <c r="B235" s="334"/>
      <c r="C235" s="725">
        <f>IF(D182="","-",+C234+1)</f>
        <v>2058</v>
      </c>
      <c r="D235" s="676">
        <f t="shared" si="22"/>
        <v>545623</v>
      </c>
      <c r="E235" s="732">
        <f t="shared" si="23"/>
        <v>41971</v>
      </c>
      <c r="F235" s="732">
        <f t="shared" si="16"/>
        <v>503652</v>
      </c>
      <c r="G235" s="676">
        <f t="shared" si="17"/>
        <v>524637.5</v>
      </c>
      <c r="H235" s="726">
        <f>+J183*G235+E235</f>
        <v>98582.733180306794</v>
      </c>
      <c r="I235" s="733">
        <f>+J184*G235+E235</f>
        <v>98582.733180306794</v>
      </c>
      <c r="J235" s="729">
        <f t="shared" si="18"/>
        <v>0</v>
      </c>
      <c r="K235" s="729"/>
      <c r="L235" s="734"/>
      <c r="M235" s="729">
        <f t="shared" si="19"/>
        <v>0</v>
      </c>
      <c r="N235" s="734"/>
      <c r="O235" s="729">
        <f t="shared" si="20"/>
        <v>0</v>
      </c>
      <c r="P235" s="729">
        <f t="shared" si="21"/>
        <v>0</v>
      </c>
      <c r="Q235" s="677"/>
    </row>
    <row r="236" spans="2:17">
      <c r="B236" s="334"/>
      <c r="C236" s="725">
        <f>IF(D182="","-",+C235+1)</f>
        <v>2059</v>
      </c>
      <c r="D236" s="676">
        <f t="shared" si="22"/>
        <v>503652</v>
      </c>
      <c r="E236" s="732">
        <f t="shared" si="23"/>
        <v>41971</v>
      </c>
      <c r="F236" s="732">
        <f t="shared" si="16"/>
        <v>461681</v>
      </c>
      <c r="G236" s="676">
        <f t="shared" si="17"/>
        <v>482666.5</v>
      </c>
      <c r="H236" s="726">
        <f>+J183*G236+E236</f>
        <v>94053.794525882244</v>
      </c>
      <c r="I236" s="733">
        <f>+J184*G236+E236</f>
        <v>94053.794525882244</v>
      </c>
      <c r="J236" s="729">
        <f t="shared" si="18"/>
        <v>0</v>
      </c>
      <c r="K236" s="729"/>
      <c r="L236" s="734"/>
      <c r="M236" s="729">
        <f t="shared" si="19"/>
        <v>0</v>
      </c>
      <c r="N236" s="734"/>
      <c r="O236" s="729">
        <f t="shared" si="20"/>
        <v>0</v>
      </c>
      <c r="P236" s="729">
        <f t="shared" si="21"/>
        <v>0</v>
      </c>
      <c r="Q236" s="677"/>
    </row>
    <row r="237" spans="2:17">
      <c r="B237" s="334"/>
      <c r="C237" s="725">
        <f>IF(D182="","-",+C236+1)</f>
        <v>2060</v>
      </c>
      <c r="D237" s="676">
        <f t="shared" si="22"/>
        <v>461681</v>
      </c>
      <c r="E237" s="732">
        <f t="shared" si="23"/>
        <v>41971</v>
      </c>
      <c r="F237" s="732">
        <f t="shared" si="16"/>
        <v>419710</v>
      </c>
      <c r="G237" s="676">
        <f t="shared" si="17"/>
        <v>440695.5</v>
      </c>
      <c r="H237" s="726">
        <f>+J183*G237+E237</f>
        <v>89524.855871457694</v>
      </c>
      <c r="I237" s="733">
        <f>+J184*G237+E237</f>
        <v>89524.855871457694</v>
      </c>
      <c r="J237" s="729">
        <f t="shared" si="18"/>
        <v>0</v>
      </c>
      <c r="K237" s="729"/>
      <c r="L237" s="734"/>
      <c r="M237" s="729">
        <f t="shared" si="19"/>
        <v>0</v>
      </c>
      <c r="N237" s="734"/>
      <c r="O237" s="729">
        <f t="shared" si="20"/>
        <v>0</v>
      </c>
      <c r="P237" s="729">
        <f t="shared" si="21"/>
        <v>0</v>
      </c>
      <c r="Q237" s="677"/>
    </row>
    <row r="238" spans="2:17">
      <c r="B238" s="334"/>
      <c r="C238" s="725">
        <f>IF(D182="","-",+C237+1)</f>
        <v>2061</v>
      </c>
      <c r="D238" s="676">
        <f t="shared" si="22"/>
        <v>419710</v>
      </c>
      <c r="E238" s="732">
        <f t="shared" si="23"/>
        <v>41971</v>
      </c>
      <c r="F238" s="732">
        <f t="shared" si="16"/>
        <v>377739</v>
      </c>
      <c r="G238" s="676">
        <f t="shared" si="17"/>
        <v>398724.5</v>
      </c>
      <c r="H238" s="726">
        <f>+J183*G238+E238</f>
        <v>84995.917217033159</v>
      </c>
      <c r="I238" s="733">
        <f>+J184*G238+E238</f>
        <v>84995.917217033159</v>
      </c>
      <c r="J238" s="729">
        <f t="shared" si="18"/>
        <v>0</v>
      </c>
      <c r="K238" s="729"/>
      <c r="L238" s="734"/>
      <c r="M238" s="729">
        <f t="shared" si="19"/>
        <v>0</v>
      </c>
      <c r="N238" s="734"/>
      <c r="O238" s="729">
        <f t="shared" si="20"/>
        <v>0</v>
      </c>
      <c r="P238" s="729">
        <f t="shared" si="21"/>
        <v>0</v>
      </c>
      <c r="Q238" s="677"/>
    </row>
    <row r="239" spans="2:17">
      <c r="B239" s="334"/>
      <c r="C239" s="725">
        <f>IF(D182="","-",+C238+1)</f>
        <v>2062</v>
      </c>
      <c r="D239" s="676">
        <f t="shared" si="22"/>
        <v>377739</v>
      </c>
      <c r="E239" s="732">
        <f t="shared" si="23"/>
        <v>41971</v>
      </c>
      <c r="F239" s="732">
        <f t="shared" si="16"/>
        <v>335768</v>
      </c>
      <c r="G239" s="676">
        <f t="shared" si="17"/>
        <v>356753.5</v>
      </c>
      <c r="H239" s="726">
        <f>+J183*G239+E239</f>
        <v>80466.978562608623</v>
      </c>
      <c r="I239" s="733">
        <f>+J184*G239+E239</f>
        <v>80466.978562608623</v>
      </c>
      <c r="J239" s="729">
        <f t="shared" si="18"/>
        <v>0</v>
      </c>
      <c r="K239" s="729"/>
      <c r="L239" s="734"/>
      <c r="M239" s="729">
        <f t="shared" si="19"/>
        <v>0</v>
      </c>
      <c r="N239" s="734"/>
      <c r="O239" s="729">
        <f t="shared" si="20"/>
        <v>0</v>
      </c>
      <c r="P239" s="729">
        <f t="shared" si="21"/>
        <v>0</v>
      </c>
      <c r="Q239" s="677"/>
    </row>
    <row r="240" spans="2:17">
      <c r="B240" s="334"/>
      <c r="C240" s="725">
        <f>IF(D182="","-",+C239+1)</f>
        <v>2063</v>
      </c>
      <c r="D240" s="676">
        <f t="shared" si="22"/>
        <v>335768</v>
      </c>
      <c r="E240" s="732">
        <f t="shared" si="23"/>
        <v>41971</v>
      </c>
      <c r="F240" s="732">
        <f t="shared" si="16"/>
        <v>293797</v>
      </c>
      <c r="G240" s="676">
        <f t="shared" si="17"/>
        <v>314782.5</v>
      </c>
      <c r="H240" s="726">
        <f>+J183*G240+E240</f>
        <v>75938.039908184073</v>
      </c>
      <c r="I240" s="733">
        <f>+J184*G240+E240</f>
        <v>75938.039908184073</v>
      </c>
      <c r="J240" s="729">
        <f t="shared" si="18"/>
        <v>0</v>
      </c>
      <c r="K240" s="729"/>
      <c r="L240" s="734"/>
      <c r="M240" s="729">
        <f t="shared" si="19"/>
        <v>0</v>
      </c>
      <c r="N240" s="734"/>
      <c r="O240" s="729">
        <f t="shared" si="20"/>
        <v>0</v>
      </c>
      <c r="P240" s="729">
        <f t="shared" si="21"/>
        <v>0</v>
      </c>
      <c r="Q240" s="677"/>
    </row>
    <row r="241" spans="1:17">
      <c r="B241" s="334"/>
      <c r="C241" s="725">
        <f>IF(D182="","-",+C240+1)</f>
        <v>2064</v>
      </c>
      <c r="D241" s="676">
        <f t="shared" si="22"/>
        <v>293797</v>
      </c>
      <c r="E241" s="732">
        <f t="shared" si="23"/>
        <v>41971</v>
      </c>
      <c r="F241" s="732">
        <f t="shared" si="16"/>
        <v>251826</v>
      </c>
      <c r="G241" s="676">
        <f t="shared" si="17"/>
        <v>272811.5</v>
      </c>
      <c r="H241" s="726">
        <f>+J183*G241+E241</f>
        <v>71409.101253759523</v>
      </c>
      <c r="I241" s="733">
        <f>+J184*G241+E241</f>
        <v>71409.101253759523</v>
      </c>
      <c r="J241" s="729">
        <f t="shared" si="18"/>
        <v>0</v>
      </c>
      <c r="K241" s="729"/>
      <c r="L241" s="734"/>
      <c r="M241" s="729">
        <f t="shared" si="19"/>
        <v>0</v>
      </c>
      <c r="N241" s="734"/>
      <c r="O241" s="729">
        <f t="shared" si="20"/>
        <v>0</v>
      </c>
      <c r="P241" s="729">
        <f t="shared" si="21"/>
        <v>0</v>
      </c>
      <c r="Q241" s="677"/>
    </row>
    <row r="242" spans="1:17">
      <c r="B242" s="334"/>
      <c r="C242" s="725">
        <f>IF(D182="","-",+C241+1)</f>
        <v>2065</v>
      </c>
      <c r="D242" s="676">
        <f t="shared" si="22"/>
        <v>251826</v>
      </c>
      <c r="E242" s="732">
        <f t="shared" si="23"/>
        <v>41971</v>
      </c>
      <c r="F242" s="732">
        <f t="shared" si="16"/>
        <v>209855</v>
      </c>
      <c r="G242" s="676">
        <f t="shared" si="17"/>
        <v>230840.5</v>
      </c>
      <c r="H242" s="726">
        <f>+J183*G242+E242</f>
        <v>66880.162599334988</v>
      </c>
      <c r="I242" s="733">
        <f>+J184*G242+E242</f>
        <v>66880.162599334988</v>
      </c>
      <c r="J242" s="729">
        <f t="shared" si="18"/>
        <v>0</v>
      </c>
      <c r="K242" s="729"/>
      <c r="L242" s="734"/>
      <c r="M242" s="729">
        <f t="shared" si="19"/>
        <v>0</v>
      </c>
      <c r="N242" s="734"/>
      <c r="O242" s="729">
        <f t="shared" si="20"/>
        <v>0</v>
      </c>
      <c r="P242" s="729">
        <f t="shared" si="21"/>
        <v>0</v>
      </c>
      <c r="Q242" s="677"/>
    </row>
    <row r="243" spans="1:17">
      <c r="B243" s="334"/>
      <c r="C243" s="725">
        <f>IF(D182="","-",+C242+1)</f>
        <v>2066</v>
      </c>
      <c r="D243" s="676">
        <f t="shared" si="22"/>
        <v>209855</v>
      </c>
      <c r="E243" s="732">
        <f t="shared" si="23"/>
        <v>41971</v>
      </c>
      <c r="F243" s="732">
        <f t="shared" si="16"/>
        <v>167884</v>
      </c>
      <c r="G243" s="676">
        <f t="shared" si="17"/>
        <v>188869.5</v>
      </c>
      <c r="H243" s="726">
        <f>+J183*G243+E243</f>
        <v>62351.223944910438</v>
      </c>
      <c r="I243" s="733">
        <f>+J184*G243+E243</f>
        <v>62351.223944910438</v>
      </c>
      <c r="J243" s="729">
        <f t="shared" si="18"/>
        <v>0</v>
      </c>
      <c r="K243" s="729"/>
      <c r="L243" s="734"/>
      <c r="M243" s="729">
        <f t="shared" si="19"/>
        <v>0</v>
      </c>
      <c r="N243" s="734"/>
      <c r="O243" s="729">
        <f t="shared" si="20"/>
        <v>0</v>
      </c>
      <c r="P243" s="729">
        <f t="shared" si="21"/>
        <v>0</v>
      </c>
      <c r="Q243" s="677"/>
    </row>
    <row r="244" spans="1:17">
      <c r="B244" s="334"/>
      <c r="C244" s="725">
        <f>IF(D182="","-",+C243+1)</f>
        <v>2067</v>
      </c>
      <c r="D244" s="676">
        <f t="shared" si="22"/>
        <v>167884</v>
      </c>
      <c r="E244" s="732">
        <f t="shared" si="23"/>
        <v>41971</v>
      </c>
      <c r="F244" s="732">
        <f t="shared" si="16"/>
        <v>125913</v>
      </c>
      <c r="G244" s="676">
        <f t="shared" si="17"/>
        <v>146898.5</v>
      </c>
      <c r="H244" s="726">
        <f>+J183*G244+E244</f>
        <v>57822.285290485903</v>
      </c>
      <c r="I244" s="733">
        <f>+J184*G244+E244</f>
        <v>57822.285290485903</v>
      </c>
      <c r="J244" s="729">
        <f t="shared" si="18"/>
        <v>0</v>
      </c>
      <c r="K244" s="729"/>
      <c r="L244" s="734"/>
      <c r="M244" s="729">
        <f t="shared" si="19"/>
        <v>0</v>
      </c>
      <c r="N244" s="734"/>
      <c r="O244" s="729">
        <f t="shared" si="20"/>
        <v>0</v>
      </c>
      <c r="P244" s="729">
        <f t="shared" si="21"/>
        <v>0</v>
      </c>
      <c r="Q244" s="677"/>
    </row>
    <row r="245" spans="1:17">
      <c r="B245" s="334"/>
      <c r="C245" s="725">
        <f>IF(D182="","-",+C244+1)</f>
        <v>2068</v>
      </c>
      <c r="D245" s="676">
        <f t="shared" si="22"/>
        <v>125913</v>
      </c>
      <c r="E245" s="732">
        <f t="shared" si="23"/>
        <v>41971</v>
      </c>
      <c r="F245" s="732">
        <f t="shared" si="16"/>
        <v>83942</v>
      </c>
      <c r="G245" s="676">
        <f t="shared" si="17"/>
        <v>104927.5</v>
      </c>
      <c r="H245" s="726">
        <f>+J183*G245+E245</f>
        <v>53293.346636061353</v>
      </c>
      <c r="I245" s="733">
        <f>+J184*G245+E245</f>
        <v>53293.346636061353</v>
      </c>
      <c r="J245" s="729">
        <f t="shared" si="18"/>
        <v>0</v>
      </c>
      <c r="K245" s="729"/>
      <c r="L245" s="734"/>
      <c r="M245" s="729">
        <f t="shared" si="19"/>
        <v>0</v>
      </c>
      <c r="N245" s="734"/>
      <c r="O245" s="729">
        <f t="shared" si="20"/>
        <v>0</v>
      </c>
      <c r="P245" s="729">
        <f t="shared" si="21"/>
        <v>0</v>
      </c>
      <c r="Q245" s="677"/>
    </row>
    <row r="246" spans="1:17">
      <c r="B246" s="334"/>
      <c r="C246" s="725">
        <f>IF(D182="","-",+C245+1)</f>
        <v>2069</v>
      </c>
      <c r="D246" s="676">
        <f t="shared" si="22"/>
        <v>83942</v>
      </c>
      <c r="E246" s="732">
        <f t="shared" si="23"/>
        <v>41971</v>
      </c>
      <c r="F246" s="732">
        <f t="shared" si="16"/>
        <v>41971</v>
      </c>
      <c r="G246" s="676">
        <f t="shared" si="17"/>
        <v>62956.5</v>
      </c>
      <c r="H246" s="726">
        <f>+J183*G246+E246</f>
        <v>48764.407981636818</v>
      </c>
      <c r="I246" s="733">
        <f>+J184*G246+E246</f>
        <v>48764.407981636818</v>
      </c>
      <c r="J246" s="729">
        <f t="shared" si="18"/>
        <v>0</v>
      </c>
      <c r="K246" s="729"/>
      <c r="L246" s="734"/>
      <c r="M246" s="729">
        <f t="shared" si="19"/>
        <v>0</v>
      </c>
      <c r="N246" s="734"/>
      <c r="O246" s="729">
        <f t="shared" si="20"/>
        <v>0</v>
      </c>
      <c r="P246" s="729">
        <f t="shared" si="21"/>
        <v>0</v>
      </c>
      <c r="Q246" s="677"/>
    </row>
    <row r="247" spans="1:17" ht="13.5" thickBot="1">
      <c r="B247" s="334"/>
      <c r="C247" s="737">
        <f>IF(D182="","-",+C246+1)</f>
        <v>2070</v>
      </c>
      <c r="D247" s="738">
        <f t="shared" si="22"/>
        <v>41971</v>
      </c>
      <c r="E247" s="739">
        <f t="shared" si="23"/>
        <v>41971</v>
      </c>
      <c r="F247" s="739">
        <f t="shared" si="16"/>
        <v>0</v>
      </c>
      <c r="G247" s="738">
        <f t="shared" si="17"/>
        <v>20985.5</v>
      </c>
      <c r="H247" s="740">
        <f>+J183*G247+E247</f>
        <v>44235.469327212268</v>
      </c>
      <c r="I247" s="740">
        <f>+J184*G247+E247</f>
        <v>44235.469327212268</v>
      </c>
      <c r="J247" s="741">
        <f t="shared" si="18"/>
        <v>0</v>
      </c>
      <c r="K247" s="729"/>
      <c r="L247" s="742"/>
      <c r="M247" s="741">
        <f t="shared" si="19"/>
        <v>0</v>
      </c>
      <c r="N247" s="742"/>
      <c r="O247" s="741">
        <f t="shared" si="20"/>
        <v>0</v>
      </c>
      <c r="P247" s="741">
        <f t="shared" si="21"/>
        <v>0</v>
      </c>
      <c r="Q247" s="677"/>
    </row>
    <row r="248" spans="1:17">
      <c r="B248" s="334"/>
      <c r="C248" s="676" t="s">
        <v>289</v>
      </c>
      <c r="D248" s="672"/>
      <c r="E248" s="672">
        <f>SUM(E188:E247)</f>
        <v>2476289</v>
      </c>
      <c r="F248" s="672"/>
      <c r="G248" s="672"/>
      <c r="H248" s="672">
        <f>SUM(H188:H247)</f>
        <v>10626114.108636964</v>
      </c>
      <c r="I248" s="672">
        <f>SUM(I188:I247)</f>
        <v>10626114.108636964</v>
      </c>
      <c r="J248" s="672">
        <f>SUM(J188:J247)</f>
        <v>0</v>
      </c>
      <c r="K248" s="672"/>
      <c r="L248" s="672"/>
      <c r="M248" s="672"/>
      <c r="N248" s="672"/>
      <c r="O248" s="672"/>
      <c r="Q248" s="672"/>
    </row>
    <row r="249" spans="1:17">
      <c r="B249" s="334"/>
      <c r="D249" s="566"/>
      <c r="E249" s="543"/>
      <c r="F249" s="543"/>
      <c r="G249" s="543"/>
      <c r="H249" s="543"/>
      <c r="I249" s="649"/>
      <c r="J249" s="649"/>
      <c r="K249" s="672"/>
      <c r="L249" s="649"/>
      <c r="M249" s="649"/>
      <c r="N249" s="649"/>
      <c r="O249" s="649"/>
      <c r="Q249" s="672"/>
    </row>
    <row r="250" spans="1:17">
      <c r="B250" s="334"/>
      <c r="C250" s="543" t="s">
        <v>602</v>
      </c>
      <c r="D250" s="566"/>
      <c r="E250" s="543"/>
      <c r="F250" s="543"/>
      <c r="G250" s="543"/>
      <c r="H250" s="543"/>
      <c r="I250" s="649"/>
      <c r="J250" s="649"/>
      <c r="K250" s="672"/>
      <c r="L250" s="649"/>
      <c r="M250" s="649"/>
      <c r="N250" s="649"/>
      <c r="O250" s="649"/>
      <c r="Q250" s="672"/>
    </row>
    <row r="251" spans="1:17">
      <c r="B251" s="334"/>
      <c r="D251" s="566"/>
      <c r="E251" s="543"/>
      <c r="F251" s="543"/>
      <c r="G251" s="543"/>
      <c r="H251" s="543"/>
      <c r="I251" s="649"/>
      <c r="J251" s="649"/>
      <c r="K251" s="672"/>
      <c r="L251" s="649"/>
      <c r="M251" s="649"/>
      <c r="N251" s="649"/>
      <c r="O251" s="649"/>
      <c r="Q251" s="672"/>
    </row>
    <row r="252" spans="1:17">
      <c r="B252" s="334"/>
      <c r="C252" s="579" t="s">
        <v>603</v>
      </c>
      <c r="D252" s="676"/>
      <c r="E252" s="676"/>
      <c r="F252" s="676"/>
      <c r="G252" s="676"/>
      <c r="H252" s="672"/>
      <c r="I252" s="672"/>
      <c r="J252" s="677"/>
      <c r="K252" s="677"/>
      <c r="L252" s="677"/>
      <c r="M252" s="677"/>
      <c r="N252" s="677"/>
      <c r="O252" s="677"/>
      <c r="Q252" s="677"/>
    </row>
    <row r="253" spans="1:17">
      <c r="B253" s="334"/>
      <c r="C253" s="579" t="s">
        <v>477</v>
      </c>
      <c r="D253" s="676"/>
      <c r="E253" s="676"/>
      <c r="F253" s="676"/>
      <c r="G253" s="676"/>
      <c r="H253" s="672"/>
      <c r="I253" s="672"/>
      <c r="J253" s="677"/>
      <c r="K253" s="677"/>
      <c r="L253" s="677"/>
      <c r="M253" s="677"/>
      <c r="N253" s="677"/>
      <c r="O253" s="677"/>
      <c r="Q253" s="677"/>
    </row>
    <row r="254" spans="1:17">
      <c r="B254" s="334"/>
      <c r="C254" s="579" t="s">
        <v>290</v>
      </c>
      <c r="D254" s="676"/>
      <c r="E254" s="676"/>
      <c r="F254" s="676"/>
      <c r="G254" s="676"/>
      <c r="H254" s="672"/>
      <c r="I254" s="672"/>
      <c r="J254" s="677"/>
      <c r="K254" s="677"/>
      <c r="L254" s="677"/>
      <c r="M254" s="677"/>
      <c r="N254" s="677"/>
      <c r="O254" s="677"/>
      <c r="Q254" s="677"/>
    </row>
    <row r="255" spans="1:17" ht="20.25">
      <c r="A255" s="678" t="s">
        <v>780</v>
      </c>
      <c r="B255" s="543"/>
      <c r="C255" s="658"/>
      <c r="D255" s="566"/>
      <c r="E255" s="543"/>
      <c r="F255" s="648"/>
      <c r="G255" s="648"/>
      <c r="H255" s="543"/>
      <c r="I255" s="649"/>
      <c r="L255" s="679"/>
      <c r="M255" s="679"/>
      <c r="N255" s="679"/>
      <c r="O255" s="594" t="str">
        <f>"Page "&amp;SUM(Q$3:Q255)&amp;" of "</f>
        <v xml:space="preserve">Page 4 of </v>
      </c>
      <c r="P255" s="595">
        <f>COUNT(Q$8:Q$58123)</f>
        <v>15</v>
      </c>
      <c r="Q255" s="763">
        <v>1</v>
      </c>
    </row>
    <row r="256" spans="1:17">
      <c r="B256" s="543"/>
      <c r="C256" s="543"/>
      <c r="D256" s="566"/>
      <c r="E256" s="543"/>
      <c r="F256" s="543"/>
      <c r="G256" s="543"/>
      <c r="H256" s="543"/>
      <c r="I256" s="649"/>
      <c r="J256" s="543"/>
      <c r="K256" s="591"/>
      <c r="Q256" s="591"/>
    </row>
    <row r="257" spans="1:17" ht="18">
      <c r="B257" s="598" t="s">
        <v>175</v>
      </c>
      <c r="C257" s="680" t="s">
        <v>291</v>
      </c>
      <c r="D257" s="566"/>
      <c r="E257" s="543"/>
      <c r="F257" s="543"/>
      <c r="G257" s="543"/>
      <c r="H257" s="543"/>
      <c r="I257" s="649"/>
      <c r="J257" s="649"/>
      <c r="K257" s="672"/>
      <c r="L257" s="649"/>
      <c r="M257" s="649"/>
      <c r="N257" s="649"/>
      <c r="O257" s="649"/>
      <c r="Q257" s="672"/>
    </row>
    <row r="258" spans="1:17" ht="18.75">
      <c r="B258" s="598"/>
      <c r="C258" s="597"/>
      <c r="D258" s="566"/>
      <c r="E258" s="543"/>
      <c r="F258" s="543"/>
      <c r="G258" s="543"/>
      <c r="H258" s="543"/>
      <c r="I258" s="649"/>
      <c r="J258" s="649"/>
      <c r="K258" s="672"/>
      <c r="L258" s="649"/>
      <c r="M258" s="649"/>
      <c r="N258" s="649"/>
      <c r="O258" s="649"/>
      <c r="Q258" s="672"/>
    </row>
    <row r="259" spans="1:17" ht="18.75">
      <c r="B259" s="598"/>
      <c r="C259" s="597" t="s">
        <v>292</v>
      </c>
      <c r="D259" s="566"/>
      <c r="E259" s="543"/>
      <c r="F259" s="543"/>
      <c r="G259" s="543"/>
      <c r="H259" s="543"/>
      <c r="I259" s="649"/>
      <c r="J259" s="649"/>
      <c r="K259" s="672"/>
      <c r="L259" s="649"/>
      <c r="M259" s="649"/>
      <c r="N259" s="649"/>
      <c r="O259" s="649"/>
      <c r="Q259" s="672"/>
    </row>
    <row r="260" spans="1:17" ht="15.75" thickBot="1">
      <c r="B260" s="334"/>
      <c r="C260" s="400"/>
      <c r="D260" s="566"/>
      <c r="E260" s="543"/>
      <c r="F260" s="543"/>
      <c r="G260" s="543"/>
      <c r="H260" s="543"/>
      <c r="I260" s="649"/>
      <c r="J260" s="649"/>
      <c r="K260" s="672"/>
      <c r="L260" s="649"/>
      <c r="M260" s="649"/>
      <c r="N260" s="649"/>
      <c r="O260" s="649"/>
      <c r="Q260" s="672"/>
    </row>
    <row r="261" spans="1:17" ht="15.75">
      <c r="B261" s="334"/>
      <c r="C261" s="599" t="s">
        <v>293</v>
      </c>
      <c r="D261" s="566"/>
      <c r="E261" s="543"/>
      <c r="F261" s="543"/>
      <c r="G261" s="543"/>
      <c r="H261" s="874"/>
      <c r="I261" s="543" t="s">
        <v>272</v>
      </c>
      <c r="J261" s="543"/>
      <c r="K261" s="591"/>
      <c r="L261" s="764">
        <f>+J267</f>
        <v>2018</v>
      </c>
      <c r="M261" s="746" t="s">
        <v>255</v>
      </c>
      <c r="N261" s="746" t="s">
        <v>256</v>
      </c>
      <c r="O261" s="747" t="s">
        <v>257</v>
      </c>
      <c r="Q261" s="591"/>
    </row>
    <row r="262" spans="1:17" ht="15.75">
      <c r="B262" s="334"/>
      <c r="C262" s="599"/>
      <c r="D262" s="566"/>
      <c r="E262" s="543"/>
      <c r="F262" s="543"/>
      <c r="H262" s="543"/>
      <c r="I262" s="684"/>
      <c r="J262" s="684"/>
      <c r="K262" s="685"/>
      <c r="L262" s="765" t="s">
        <v>456</v>
      </c>
      <c r="M262" s="766">
        <f>VLOOKUP(J267,C274:P333,10)</f>
        <v>1909994</v>
      </c>
      <c r="N262" s="766">
        <f>VLOOKUP(J267,C274:P333,12)</f>
        <v>1909994</v>
      </c>
      <c r="O262" s="767">
        <f>+N262-M262</f>
        <v>0</v>
      </c>
      <c r="Q262" s="685"/>
    </row>
    <row r="263" spans="1:17">
      <c r="B263" s="334"/>
      <c r="C263" s="687" t="s">
        <v>294</v>
      </c>
      <c r="D263" s="1434" t="s">
        <v>997</v>
      </c>
      <c r="E263" s="1434"/>
      <c r="F263" s="1434"/>
      <c r="G263" s="1434"/>
      <c r="H263" s="885"/>
      <c r="I263" s="649"/>
      <c r="J263" s="649"/>
      <c r="K263" s="672"/>
      <c r="L263" s="765" t="s">
        <v>457</v>
      </c>
      <c r="M263" s="768">
        <f>VLOOKUP(J267,C274:P333,6)</f>
        <v>2430914.0416738442</v>
      </c>
      <c r="N263" s="768">
        <f>VLOOKUP(J267,C274:P333,7)</f>
        <v>2430914.0416738442</v>
      </c>
      <c r="O263" s="769">
        <f>+N263-M263</f>
        <v>0</v>
      </c>
      <c r="Q263" s="672"/>
    </row>
    <row r="264" spans="1:17" ht="13.5" thickBot="1">
      <c r="B264" s="334"/>
      <c r="C264" s="689"/>
      <c r="D264" s="690"/>
      <c r="E264" s="674"/>
      <c r="F264" s="674"/>
      <c r="G264" s="674"/>
      <c r="H264" s="691"/>
      <c r="I264" s="649"/>
      <c r="J264" s="649"/>
      <c r="K264" s="672"/>
      <c r="L264" s="710" t="s">
        <v>458</v>
      </c>
      <c r="M264" s="770">
        <f>+M263-M262</f>
        <v>520920.04167384421</v>
      </c>
      <c r="N264" s="770">
        <f>+N263-N262</f>
        <v>520920.04167384421</v>
      </c>
      <c r="O264" s="771">
        <f>+O263-O262</f>
        <v>0</v>
      </c>
      <c r="Q264" s="672"/>
    </row>
    <row r="265" spans="1:17" ht="13.5" thickBot="1">
      <c r="B265" s="334"/>
      <c r="C265" s="692"/>
      <c r="D265" s="693"/>
      <c r="E265" s="691"/>
      <c r="F265" s="691"/>
      <c r="G265" s="691"/>
      <c r="H265" s="691"/>
      <c r="I265" s="691"/>
      <c r="J265" s="691"/>
      <c r="K265" s="694"/>
      <c r="L265" s="691"/>
      <c r="M265" s="691"/>
      <c r="N265" s="691"/>
      <c r="O265" s="691"/>
      <c r="P265" s="579"/>
      <c r="Q265" s="694"/>
    </row>
    <row r="266" spans="1:17" ht="13.5" thickBot="1">
      <c r="B266" s="334"/>
      <c r="C266" s="696" t="s">
        <v>295</v>
      </c>
      <c r="D266" s="697"/>
      <c r="E266" s="697"/>
      <c r="F266" s="697"/>
      <c r="G266" s="697"/>
      <c r="H266" s="697"/>
      <c r="I266" s="697"/>
      <c r="J266" s="697"/>
      <c r="K266" s="699"/>
      <c r="P266" s="700"/>
      <c r="Q266" s="699"/>
    </row>
    <row r="267" spans="1:17" ht="15">
      <c r="A267" s="695"/>
      <c r="B267" s="334"/>
      <c r="C267" s="702" t="s">
        <v>273</v>
      </c>
      <c r="D267" s="875">
        <v>20601477</v>
      </c>
      <c r="E267" s="658" t="s">
        <v>274</v>
      </c>
      <c r="H267" s="703"/>
      <c r="I267" s="703"/>
      <c r="J267" s="704">
        <v>2018</v>
      </c>
      <c r="K267" s="589"/>
      <c r="L267" s="1445" t="s">
        <v>275</v>
      </c>
      <c r="M267" s="1445"/>
      <c r="N267" s="1445"/>
      <c r="O267" s="1445"/>
      <c r="P267" s="591"/>
      <c r="Q267" s="589"/>
    </row>
    <row r="268" spans="1:17">
      <c r="A268" s="695"/>
      <c r="B268" s="334"/>
      <c r="C268" s="702" t="s">
        <v>276</v>
      </c>
      <c r="D268" s="886">
        <v>2014</v>
      </c>
      <c r="E268" s="702" t="s">
        <v>277</v>
      </c>
      <c r="F268" s="703"/>
      <c r="G268" s="703"/>
      <c r="I268" s="334"/>
      <c r="J268" s="879">
        <v>0</v>
      </c>
      <c r="K268" s="705"/>
      <c r="L268" s="672" t="s">
        <v>476</v>
      </c>
      <c r="P268" s="591"/>
      <c r="Q268" s="705"/>
    </row>
    <row r="269" spans="1:17">
      <c r="A269" s="695"/>
      <c r="B269" s="334"/>
      <c r="C269" s="702" t="s">
        <v>278</v>
      </c>
      <c r="D269" s="877">
        <v>9</v>
      </c>
      <c r="E269" s="702" t="s">
        <v>279</v>
      </c>
      <c r="F269" s="703"/>
      <c r="G269" s="703"/>
      <c r="I269" s="334"/>
      <c r="J269" s="706">
        <f>$F$70</f>
        <v>0.10790637951024619</v>
      </c>
      <c r="K269" s="707"/>
      <c r="L269" s="543" t="str">
        <f>"          INPUT TRUE-UP ARR (WITH &amp; WITHOUT INCENTIVES) FROM EACH PRIOR YEAR"</f>
        <v xml:space="preserve">          INPUT TRUE-UP ARR (WITH &amp; WITHOUT INCENTIVES) FROM EACH PRIOR YEAR</v>
      </c>
      <c r="P269" s="591"/>
      <c r="Q269" s="707"/>
    </row>
    <row r="270" spans="1:17">
      <c r="A270" s="695"/>
      <c r="B270" s="334"/>
      <c r="C270" s="702" t="s">
        <v>280</v>
      </c>
      <c r="D270" s="708">
        <f>H79</f>
        <v>59</v>
      </c>
      <c r="E270" s="702" t="s">
        <v>281</v>
      </c>
      <c r="F270" s="703"/>
      <c r="G270" s="703"/>
      <c r="I270" s="334"/>
      <c r="J270" s="706">
        <f>IF(H261="",J269,$F$69)</f>
        <v>0.10790637951024619</v>
      </c>
      <c r="K270" s="709"/>
      <c r="L270" s="543" t="s">
        <v>363</v>
      </c>
      <c r="M270" s="709"/>
      <c r="N270" s="709"/>
      <c r="O270" s="709"/>
      <c r="P270" s="591"/>
      <c r="Q270" s="709"/>
    </row>
    <row r="271" spans="1:17" ht="13.5" thickBot="1">
      <c r="A271" s="695"/>
      <c r="B271" s="334"/>
      <c r="C271" s="702" t="s">
        <v>282</v>
      </c>
      <c r="D271" s="878" t="s">
        <v>995</v>
      </c>
      <c r="E271" s="710" t="s">
        <v>283</v>
      </c>
      <c r="F271" s="711"/>
      <c r="G271" s="711"/>
      <c r="H271" s="712"/>
      <c r="I271" s="712"/>
      <c r="J271" s="688">
        <f>IF(D267=0,0,D267/D270)</f>
        <v>349177.57627118647</v>
      </c>
      <c r="K271" s="672"/>
      <c r="L271" s="672" t="s">
        <v>364</v>
      </c>
      <c r="M271" s="672"/>
      <c r="N271" s="672"/>
      <c r="O271" s="672"/>
      <c r="P271" s="591"/>
      <c r="Q271" s="672"/>
    </row>
    <row r="272" spans="1:17" ht="38.25">
      <c r="A272" s="530"/>
      <c r="B272" s="530"/>
      <c r="C272" s="713" t="s">
        <v>273</v>
      </c>
      <c r="D272" s="714" t="s">
        <v>284</v>
      </c>
      <c r="E272" s="715" t="s">
        <v>285</v>
      </c>
      <c r="F272" s="714" t="s">
        <v>286</v>
      </c>
      <c r="G272" s="714" t="s">
        <v>459</v>
      </c>
      <c r="H272" s="715" t="s">
        <v>357</v>
      </c>
      <c r="I272" s="716" t="s">
        <v>357</v>
      </c>
      <c r="J272" s="713" t="s">
        <v>296</v>
      </c>
      <c r="K272" s="717"/>
      <c r="L272" s="715" t="s">
        <v>359</v>
      </c>
      <c r="M272" s="715" t="s">
        <v>365</v>
      </c>
      <c r="N272" s="715" t="s">
        <v>359</v>
      </c>
      <c r="O272" s="715" t="s">
        <v>367</v>
      </c>
      <c r="P272" s="715" t="s">
        <v>287</v>
      </c>
      <c r="Q272" s="718"/>
    </row>
    <row r="273" spans="2:17" ht="13.5" thickBot="1">
      <c r="B273" s="334"/>
      <c r="C273" s="719" t="s">
        <v>178</v>
      </c>
      <c r="D273" s="720" t="s">
        <v>179</v>
      </c>
      <c r="E273" s="719" t="s">
        <v>37</v>
      </c>
      <c r="F273" s="720" t="s">
        <v>179</v>
      </c>
      <c r="G273" s="720" t="s">
        <v>179</v>
      </c>
      <c r="H273" s="721" t="s">
        <v>299</v>
      </c>
      <c r="I273" s="722" t="s">
        <v>301</v>
      </c>
      <c r="J273" s="723" t="s">
        <v>390</v>
      </c>
      <c r="K273" s="724"/>
      <c r="L273" s="721" t="s">
        <v>288</v>
      </c>
      <c r="M273" s="721" t="s">
        <v>288</v>
      </c>
      <c r="N273" s="721" t="s">
        <v>468</v>
      </c>
      <c r="O273" s="721" t="s">
        <v>468</v>
      </c>
      <c r="P273" s="721" t="s">
        <v>468</v>
      </c>
      <c r="Q273" s="589"/>
    </row>
    <row r="274" spans="2:17">
      <c r="B274" s="334"/>
      <c r="C274" s="725">
        <f>IF(D268= "","-",D268)</f>
        <v>2014</v>
      </c>
      <c r="D274" s="676">
        <f>+D267</f>
        <v>20601477</v>
      </c>
      <c r="E274" s="726">
        <f>+J271/12*(12-D269)</f>
        <v>87294.394067796617</v>
      </c>
      <c r="F274" s="772">
        <f t="shared" ref="F274:F333" si="24">+D274-E274</f>
        <v>20514182.605932202</v>
      </c>
      <c r="G274" s="676">
        <f t="shared" ref="G274:G333" si="25">+(D274+F274)/2</f>
        <v>20557829.802966103</v>
      </c>
      <c r="H274" s="727">
        <f>+J269*G274+E274</f>
        <v>2305615.3786937064</v>
      </c>
      <c r="I274" s="728">
        <f>+J270*G274+E274</f>
        <v>2305615.3786937064</v>
      </c>
      <c r="J274" s="729">
        <f t="shared" ref="J274:J333" si="26">+I274-H274</f>
        <v>0</v>
      </c>
      <c r="K274" s="729"/>
      <c r="L274" s="730">
        <v>184681</v>
      </c>
      <c r="M274" s="773">
        <f t="shared" ref="M274:M333" si="27">IF(L274&lt;&gt;0,+H274-L274,0)</f>
        <v>2120934.3786937064</v>
      </c>
      <c r="N274" s="730">
        <v>184681</v>
      </c>
      <c r="O274" s="773">
        <f t="shared" ref="O274:O333" si="28">IF(N274&lt;&gt;0,+I274-N274,0)</f>
        <v>2120934.3786937064</v>
      </c>
      <c r="P274" s="773">
        <f t="shared" ref="P274:P333" si="29">+O274-M274</f>
        <v>0</v>
      </c>
      <c r="Q274" s="677"/>
    </row>
    <row r="275" spans="2:17">
      <c r="B275" s="334"/>
      <c r="C275" s="725">
        <f>IF(D268="","-",+C274+1)</f>
        <v>2015</v>
      </c>
      <c r="D275" s="676">
        <f t="shared" ref="D275:D333" si="30">F274</f>
        <v>20514182.605932202</v>
      </c>
      <c r="E275" s="732">
        <f>IF(D275&gt;$J$271,$J$271,D275)</f>
        <v>349177.57627118647</v>
      </c>
      <c r="F275" s="732">
        <f t="shared" si="24"/>
        <v>20165005.029661015</v>
      </c>
      <c r="G275" s="676">
        <f t="shared" si="25"/>
        <v>20339593.81779661</v>
      </c>
      <c r="H275" s="726">
        <f>+J269*G275+E275</f>
        <v>2543949.5058586048</v>
      </c>
      <c r="I275" s="733">
        <f>+J270*G275+E275</f>
        <v>2543949.5058586048</v>
      </c>
      <c r="J275" s="729">
        <f t="shared" si="26"/>
        <v>0</v>
      </c>
      <c r="K275" s="729"/>
      <c r="L275" s="734">
        <v>1644963</v>
      </c>
      <c r="M275" s="729">
        <f t="shared" si="27"/>
        <v>898986.5058586048</v>
      </c>
      <c r="N275" s="734">
        <v>1644963</v>
      </c>
      <c r="O275" s="729">
        <f t="shared" si="28"/>
        <v>898986.5058586048</v>
      </c>
      <c r="P275" s="729">
        <f t="shared" si="29"/>
        <v>0</v>
      </c>
      <c r="Q275" s="677"/>
    </row>
    <row r="276" spans="2:17">
      <c r="B276" s="334"/>
      <c r="C276" s="725">
        <f>IF(D268="","-",+C275+1)</f>
        <v>2016</v>
      </c>
      <c r="D276" s="676">
        <f t="shared" si="30"/>
        <v>20165005.029661015</v>
      </c>
      <c r="E276" s="732">
        <f t="shared" ref="E276:E333" si="31">IF(D276&gt;$J$271,$J$271,D276)</f>
        <v>349177.57627118647</v>
      </c>
      <c r="F276" s="732">
        <f t="shared" si="24"/>
        <v>19815827.453389827</v>
      </c>
      <c r="G276" s="676">
        <f t="shared" si="25"/>
        <v>19990416.241525419</v>
      </c>
      <c r="H276" s="726">
        <f>+J269*G276+E276</f>
        <v>2506271.0177970175</v>
      </c>
      <c r="I276" s="733">
        <f>+J270*G276+E276</f>
        <v>2506271.0177970175</v>
      </c>
      <c r="J276" s="729">
        <f t="shared" si="26"/>
        <v>0</v>
      </c>
      <c r="K276" s="729"/>
      <c r="L276" s="734">
        <v>1563801</v>
      </c>
      <c r="M276" s="729">
        <f t="shared" si="27"/>
        <v>942470.01779701747</v>
      </c>
      <c r="N276" s="734">
        <v>1563801</v>
      </c>
      <c r="O276" s="729">
        <f t="shared" si="28"/>
        <v>942470.01779701747</v>
      </c>
      <c r="P276" s="729">
        <f t="shared" si="29"/>
        <v>0</v>
      </c>
      <c r="Q276" s="677"/>
    </row>
    <row r="277" spans="2:17">
      <c r="B277" s="334"/>
      <c r="C277" s="725">
        <f>IF(D268="","-",+C276+1)</f>
        <v>2017</v>
      </c>
      <c r="D277" s="676">
        <f t="shared" si="30"/>
        <v>19815827.453389827</v>
      </c>
      <c r="E277" s="732">
        <f t="shared" si="31"/>
        <v>349177.57627118647</v>
      </c>
      <c r="F277" s="732">
        <f t="shared" si="24"/>
        <v>19466649.87711864</v>
      </c>
      <c r="G277" s="676">
        <f t="shared" si="25"/>
        <v>19641238.665254235</v>
      </c>
      <c r="H277" s="726">
        <f>+J269*G277+E277</f>
        <v>2468592.5297354315</v>
      </c>
      <c r="I277" s="733">
        <f>+J270*G277+E277</f>
        <v>2468592.5297354315</v>
      </c>
      <c r="J277" s="729">
        <f t="shared" si="26"/>
        <v>0</v>
      </c>
      <c r="K277" s="729"/>
      <c r="L277" s="734">
        <v>2152715</v>
      </c>
      <c r="M277" s="729">
        <f t="shared" si="27"/>
        <v>315877.52973543154</v>
      </c>
      <c r="N277" s="734">
        <v>2152715</v>
      </c>
      <c r="O277" s="729">
        <f t="shared" si="28"/>
        <v>315877.52973543154</v>
      </c>
      <c r="P277" s="729">
        <f t="shared" si="29"/>
        <v>0</v>
      </c>
      <c r="Q277" s="677"/>
    </row>
    <row r="278" spans="2:17">
      <c r="B278" s="334"/>
      <c r="C278" s="725">
        <f>IF(D268="","-",+C277+1)</f>
        <v>2018</v>
      </c>
      <c r="D278" s="1311">
        <f t="shared" si="30"/>
        <v>19466649.87711864</v>
      </c>
      <c r="E278" s="732">
        <f t="shared" si="31"/>
        <v>349177.57627118647</v>
      </c>
      <c r="F278" s="732">
        <f t="shared" si="24"/>
        <v>19117472.300847452</v>
      </c>
      <c r="G278" s="676">
        <f t="shared" si="25"/>
        <v>19292061.088983044</v>
      </c>
      <c r="H278" s="726">
        <f>+J269*G278+E278</f>
        <v>2430914.0416738442</v>
      </c>
      <c r="I278" s="733">
        <f>+J270*G278+E278</f>
        <v>2430914.0416738442</v>
      </c>
      <c r="J278" s="729">
        <f t="shared" si="26"/>
        <v>0</v>
      </c>
      <c r="K278" s="729"/>
      <c r="L278" s="734">
        <v>1909994</v>
      </c>
      <c r="M278" s="729">
        <f t="shared" si="27"/>
        <v>520920.04167384421</v>
      </c>
      <c r="N278" s="734">
        <v>1909994</v>
      </c>
      <c r="O278" s="729">
        <f t="shared" si="28"/>
        <v>520920.04167384421</v>
      </c>
      <c r="P278" s="729">
        <f t="shared" si="29"/>
        <v>0</v>
      </c>
      <c r="Q278" s="677"/>
    </row>
    <row r="279" spans="2:17">
      <c r="B279" s="334"/>
      <c r="C279" s="725">
        <f>IF(D268="","-",+C278+1)</f>
        <v>2019</v>
      </c>
      <c r="D279" s="676">
        <f t="shared" si="30"/>
        <v>19117472.300847452</v>
      </c>
      <c r="E279" s="732">
        <f t="shared" si="31"/>
        <v>349177.57627118647</v>
      </c>
      <c r="F279" s="732">
        <f t="shared" si="24"/>
        <v>18768294.724576265</v>
      </c>
      <c r="G279" s="676">
        <f t="shared" si="25"/>
        <v>18942883.51271186</v>
      </c>
      <c r="H279" s="726">
        <f>+J269*G279+E279</f>
        <v>2393235.5536122578</v>
      </c>
      <c r="I279" s="733">
        <f>+J270*G279+E279</f>
        <v>2393235.5536122578</v>
      </c>
      <c r="J279" s="729">
        <f t="shared" si="26"/>
        <v>0</v>
      </c>
      <c r="K279" s="729"/>
      <c r="L279" s="734">
        <v>0</v>
      </c>
      <c r="M279" s="729">
        <f t="shared" si="27"/>
        <v>0</v>
      </c>
      <c r="N279" s="734">
        <v>0</v>
      </c>
      <c r="O279" s="729">
        <f t="shared" si="28"/>
        <v>0</v>
      </c>
      <c r="P279" s="729">
        <f t="shared" si="29"/>
        <v>0</v>
      </c>
      <c r="Q279" s="677"/>
    </row>
    <row r="280" spans="2:17">
      <c r="B280" s="334"/>
      <c r="C280" s="725">
        <f>IF(D268="","-",+C279+1)</f>
        <v>2020</v>
      </c>
      <c r="D280" s="676">
        <f t="shared" si="30"/>
        <v>18768294.724576265</v>
      </c>
      <c r="E280" s="732">
        <f t="shared" si="31"/>
        <v>349177.57627118647</v>
      </c>
      <c r="F280" s="732">
        <f t="shared" si="24"/>
        <v>18419117.148305077</v>
      </c>
      <c r="G280" s="676">
        <f t="shared" si="25"/>
        <v>18593705.936440669</v>
      </c>
      <c r="H280" s="726">
        <f>+J269*G280+E280</f>
        <v>2355557.065550671</v>
      </c>
      <c r="I280" s="733">
        <f>+J270*G280+E280</f>
        <v>2355557.065550671</v>
      </c>
      <c r="J280" s="729">
        <f t="shared" si="26"/>
        <v>0</v>
      </c>
      <c r="K280" s="729"/>
      <c r="L280" s="734">
        <v>0</v>
      </c>
      <c r="M280" s="729">
        <f t="shared" si="27"/>
        <v>0</v>
      </c>
      <c r="N280" s="734">
        <v>0</v>
      </c>
      <c r="O280" s="729">
        <f t="shared" si="28"/>
        <v>0</v>
      </c>
      <c r="P280" s="729">
        <f t="shared" si="29"/>
        <v>0</v>
      </c>
      <c r="Q280" s="677"/>
    </row>
    <row r="281" spans="2:17">
      <c r="B281" s="334"/>
      <c r="C281" s="725">
        <f>IF(D268="","-",+C280+1)</f>
        <v>2021</v>
      </c>
      <c r="D281" s="676">
        <f t="shared" si="30"/>
        <v>18419117.148305077</v>
      </c>
      <c r="E281" s="732">
        <f t="shared" si="31"/>
        <v>349177.57627118647</v>
      </c>
      <c r="F281" s="732">
        <f t="shared" si="24"/>
        <v>18069939.57203389</v>
      </c>
      <c r="G281" s="676">
        <f t="shared" si="25"/>
        <v>18244528.360169485</v>
      </c>
      <c r="H281" s="726">
        <f>+J269*G281+E281</f>
        <v>2317878.5774890846</v>
      </c>
      <c r="I281" s="733">
        <f>+J270*G281+E281</f>
        <v>2317878.5774890846</v>
      </c>
      <c r="J281" s="729">
        <f t="shared" si="26"/>
        <v>0</v>
      </c>
      <c r="K281" s="729"/>
      <c r="L281" s="734">
        <v>0</v>
      </c>
      <c r="M281" s="729">
        <f t="shared" si="27"/>
        <v>0</v>
      </c>
      <c r="N281" s="734">
        <v>0</v>
      </c>
      <c r="O281" s="729">
        <f t="shared" si="28"/>
        <v>0</v>
      </c>
      <c r="P281" s="729">
        <f t="shared" si="29"/>
        <v>0</v>
      </c>
      <c r="Q281" s="677"/>
    </row>
    <row r="282" spans="2:17">
      <c r="B282" s="334"/>
      <c r="C282" s="725">
        <f>IF(D268="","-",+C281+1)</f>
        <v>2022</v>
      </c>
      <c r="D282" s="676">
        <f t="shared" si="30"/>
        <v>18069939.57203389</v>
      </c>
      <c r="E282" s="732">
        <f t="shared" si="31"/>
        <v>349177.57627118647</v>
      </c>
      <c r="F282" s="732">
        <f t="shared" si="24"/>
        <v>17720761.995762702</v>
      </c>
      <c r="G282" s="676">
        <f t="shared" si="25"/>
        <v>17895350.783898294</v>
      </c>
      <c r="H282" s="726">
        <f>+J269*G282+E282</f>
        <v>2280200.0894274972</v>
      </c>
      <c r="I282" s="733">
        <f>+J270*G282+E282</f>
        <v>2280200.0894274972</v>
      </c>
      <c r="J282" s="729">
        <f t="shared" si="26"/>
        <v>0</v>
      </c>
      <c r="K282" s="729"/>
      <c r="L282" s="734">
        <v>0</v>
      </c>
      <c r="M282" s="729">
        <f t="shared" si="27"/>
        <v>0</v>
      </c>
      <c r="N282" s="734">
        <v>0</v>
      </c>
      <c r="O282" s="729">
        <f t="shared" si="28"/>
        <v>0</v>
      </c>
      <c r="P282" s="729">
        <f t="shared" si="29"/>
        <v>0</v>
      </c>
      <c r="Q282" s="677"/>
    </row>
    <row r="283" spans="2:17">
      <c r="B283" s="334"/>
      <c r="C283" s="725">
        <f>IF(D268="","-",+C282+1)</f>
        <v>2023</v>
      </c>
      <c r="D283" s="676">
        <f t="shared" si="30"/>
        <v>17720761.995762702</v>
      </c>
      <c r="E283" s="732">
        <f t="shared" si="31"/>
        <v>349177.57627118647</v>
      </c>
      <c r="F283" s="732">
        <f t="shared" si="24"/>
        <v>17371584.419491515</v>
      </c>
      <c r="G283" s="676">
        <f t="shared" si="25"/>
        <v>17546173.20762711</v>
      </c>
      <c r="H283" s="726">
        <f>+J269*G283+E283</f>
        <v>2242521.6013659113</v>
      </c>
      <c r="I283" s="733">
        <f>+J270*G283+E283</f>
        <v>2242521.6013659113</v>
      </c>
      <c r="J283" s="729">
        <f t="shared" si="26"/>
        <v>0</v>
      </c>
      <c r="K283" s="729"/>
      <c r="L283" s="734">
        <v>0</v>
      </c>
      <c r="M283" s="729">
        <f t="shared" si="27"/>
        <v>0</v>
      </c>
      <c r="N283" s="734">
        <v>0</v>
      </c>
      <c r="O283" s="729">
        <f t="shared" si="28"/>
        <v>0</v>
      </c>
      <c r="P283" s="729">
        <f t="shared" si="29"/>
        <v>0</v>
      </c>
      <c r="Q283" s="677"/>
    </row>
    <row r="284" spans="2:17">
      <c r="B284" s="334"/>
      <c r="C284" s="725">
        <f>IF(D268="","-",+C283+1)</f>
        <v>2024</v>
      </c>
      <c r="D284" s="676">
        <f t="shared" si="30"/>
        <v>17371584.419491515</v>
      </c>
      <c r="E284" s="732">
        <f t="shared" si="31"/>
        <v>349177.57627118647</v>
      </c>
      <c r="F284" s="732">
        <f t="shared" si="24"/>
        <v>17022406.843220327</v>
      </c>
      <c r="G284" s="676">
        <f t="shared" si="25"/>
        <v>17196995.631355919</v>
      </c>
      <c r="H284" s="726">
        <f>+J269*G284+E284</f>
        <v>2204843.113304324</v>
      </c>
      <c r="I284" s="733">
        <f>+J270*G284+E284</f>
        <v>2204843.113304324</v>
      </c>
      <c r="J284" s="729">
        <f t="shared" si="26"/>
        <v>0</v>
      </c>
      <c r="K284" s="729"/>
      <c r="L284" s="734">
        <v>0</v>
      </c>
      <c r="M284" s="729">
        <f t="shared" si="27"/>
        <v>0</v>
      </c>
      <c r="N284" s="734">
        <v>0</v>
      </c>
      <c r="O284" s="729">
        <f t="shared" si="28"/>
        <v>0</v>
      </c>
      <c r="P284" s="729">
        <f t="shared" si="29"/>
        <v>0</v>
      </c>
      <c r="Q284" s="677"/>
    </row>
    <row r="285" spans="2:17">
      <c r="B285" s="334"/>
      <c r="C285" s="725">
        <f>IF(D268="","-",+C284+1)</f>
        <v>2025</v>
      </c>
      <c r="D285" s="676">
        <f t="shared" si="30"/>
        <v>17022406.843220327</v>
      </c>
      <c r="E285" s="732">
        <f t="shared" si="31"/>
        <v>349177.57627118647</v>
      </c>
      <c r="F285" s="732">
        <f t="shared" si="24"/>
        <v>16673229.266949141</v>
      </c>
      <c r="G285" s="676">
        <f t="shared" si="25"/>
        <v>16847818.055084735</v>
      </c>
      <c r="H285" s="726">
        <f>+J269*G285+E285</f>
        <v>2167164.6252427376</v>
      </c>
      <c r="I285" s="733">
        <f>+J270*G285+E285</f>
        <v>2167164.6252427376</v>
      </c>
      <c r="J285" s="729">
        <f t="shared" si="26"/>
        <v>0</v>
      </c>
      <c r="K285" s="729"/>
      <c r="L285" s="734"/>
      <c r="M285" s="729">
        <f t="shared" si="27"/>
        <v>0</v>
      </c>
      <c r="N285" s="734"/>
      <c r="O285" s="729">
        <f t="shared" si="28"/>
        <v>0</v>
      </c>
      <c r="P285" s="729">
        <f t="shared" si="29"/>
        <v>0</v>
      </c>
      <c r="Q285" s="677"/>
    </row>
    <row r="286" spans="2:17">
      <c r="B286" s="334"/>
      <c r="C286" s="725">
        <f>IF(D268="","-",+C285+1)</f>
        <v>2026</v>
      </c>
      <c r="D286" s="676">
        <f t="shared" si="30"/>
        <v>16673229.266949141</v>
      </c>
      <c r="E286" s="732">
        <f t="shared" si="31"/>
        <v>349177.57627118647</v>
      </c>
      <c r="F286" s="732">
        <f t="shared" si="24"/>
        <v>16324051.690677956</v>
      </c>
      <c r="G286" s="676">
        <f t="shared" si="25"/>
        <v>16498640.478813548</v>
      </c>
      <c r="H286" s="726">
        <f>+J269*G286+E286</f>
        <v>2129486.1371811512</v>
      </c>
      <c r="I286" s="733">
        <f>+J270*G286+E286</f>
        <v>2129486.1371811512</v>
      </c>
      <c r="J286" s="729">
        <f t="shared" si="26"/>
        <v>0</v>
      </c>
      <c r="K286" s="729"/>
      <c r="L286" s="734"/>
      <c r="M286" s="729">
        <f t="shared" si="27"/>
        <v>0</v>
      </c>
      <c r="N286" s="734"/>
      <c r="O286" s="729">
        <f t="shared" si="28"/>
        <v>0</v>
      </c>
      <c r="P286" s="729">
        <f t="shared" si="29"/>
        <v>0</v>
      </c>
      <c r="Q286" s="677"/>
    </row>
    <row r="287" spans="2:17">
      <c r="B287" s="334"/>
      <c r="C287" s="725">
        <f>IF(D268="","-",+C286+1)</f>
        <v>2027</v>
      </c>
      <c r="D287" s="676">
        <f t="shared" si="30"/>
        <v>16324051.690677956</v>
      </c>
      <c r="E287" s="732">
        <f t="shared" si="31"/>
        <v>349177.57627118647</v>
      </c>
      <c r="F287" s="732">
        <f t="shared" si="24"/>
        <v>15974874.11440677</v>
      </c>
      <c r="G287" s="676">
        <f t="shared" si="25"/>
        <v>16149462.902542364</v>
      </c>
      <c r="H287" s="726">
        <f>+J269*G287+E287</f>
        <v>2091807.6491195648</v>
      </c>
      <c r="I287" s="733">
        <f>+J270*G287+E287</f>
        <v>2091807.6491195648</v>
      </c>
      <c r="J287" s="729">
        <f t="shared" si="26"/>
        <v>0</v>
      </c>
      <c r="K287" s="729"/>
      <c r="L287" s="734"/>
      <c r="M287" s="729">
        <f t="shared" si="27"/>
        <v>0</v>
      </c>
      <c r="N287" s="734"/>
      <c r="O287" s="729">
        <f t="shared" si="28"/>
        <v>0</v>
      </c>
      <c r="P287" s="729">
        <f t="shared" si="29"/>
        <v>0</v>
      </c>
      <c r="Q287" s="677"/>
    </row>
    <row r="288" spans="2:17">
      <c r="B288" s="334"/>
      <c r="C288" s="725">
        <f>IF(D268="","-",+C287+1)</f>
        <v>2028</v>
      </c>
      <c r="D288" s="676">
        <f t="shared" si="30"/>
        <v>15974874.11440677</v>
      </c>
      <c r="E288" s="732">
        <f t="shared" si="31"/>
        <v>349177.57627118647</v>
      </c>
      <c r="F288" s="732">
        <f t="shared" si="24"/>
        <v>15625696.538135584</v>
      </c>
      <c r="G288" s="676">
        <f t="shared" si="25"/>
        <v>15800285.326271176</v>
      </c>
      <c r="H288" s="726">
        <f>+J269*G288+E288</f>
        <v>2054129.1610579779</v>
      </c>
      <c r="I288" s="733">
        <f>+J270*G288+E288</f>
        <v>2054129.1610579779</v>
      </c>
      <c r="J288" s="729">
        <f t="shared" si="26"/>
        <v>0</v>
      </c>
      <c r="K288" s="729"/>
      <c r="L288" s="734"/>
      <c r="M288" s="729">
        <f t="shared" si="27"/>
        <v>0</v>
      </c>
      <c r="N288" s="734"/>
      <c r="O288" s="729">
        <f t="shared" si="28"/>
        <v>0</v>
      </c>
      <c r="P288" s="729">
        <f t="shared" si="29"/>
        <v>0</v>
      </c>
      <c r="Q288" s="677"/>
    </row>
    <row r="289" spans="2:17">
      <c r="B289" s="334"/>
      <c r="C289" s="725">
        <f>IF(D268="","-",+C288+1)</f>
        <v>2029</v>
      </c>
      <c r="D289" s="676">
        <f t="shared" si="30"/>
        <v>15625696.538135584</v>
      </c>
      <c r="E289" s="732">
        <f t="shared" si="31"/>
        <v>349177.57627118647</v>
      </c>
      <c r="F289" s="732">
        <f t="shared" si="24"/>
        <v>15276518.961864399</v>
      </c>
      <c r="G289" s="676">
        <f t="shared" si="25"/>
        <v>15451107.749999993</v>
      </c>
      <c r="H289" s="726">
        <f>+J269*G289+E289</f>
        <v>2016450.6729963915</v>
      </c>
      <c r="I289" s="733">
        <f>+J270*G289+E289</f>
        <v>2016450.6729963915</v>
      </c>
      <c r="J289" s="729">
        <f t="shared" si="26"/>
        <v>0</v>
      </c>
      <c r="K289" s="729"/>
      <c r="L289" s="734"/>
      <c r="M289" s="729">
        <f t="shared" si="27"/>
        <v>0</v>
      </c>
      <c r="N289" s="734"/>
      <c r="O289" s="729">
        <f t="shared" si="28"/>
        <v>0</v>
      </c>
      <c r="P289" s="729">
        <f t="shared" si="29"/>
        <v>0</v>
      </c>
      <c r="Q289" s="677"/>
    </row>
    <row r="290" spans="2:17">
      <c r="B290" s="334"/>
      <c r="C290" s="725">
        <f>IF(D268="","-",+C289+1)</f>
        <v>2030</v>
      </c>
      <c r="D290" s="676">
        <f t="shared" si="30"/>
        <v>15276518.961864399</v>
      </c>
      <c r="E290" s="732">
        <f t="shared" si="31"/>
        <v>349177.57627118647</v>
      </c>
      <c r="F290" s="732">
        <f t="shared" si="24"/>
        <v>14927341.385593213</v>
      </c>
      <c r="G290" s="676">
        <f t="shared" si="25"/>
        <v>15101930.173728805</v>
      </c>
      <c r="H290" s="726">
        <f>+J269*G290+E290</f>
        <v>1978772.1849348051</v>
      </c>
      <c r="I290" s="733">
        <f>+J270*G290+E290</f>
        <v>1978772.1849348051</v>
      </c>
      <c r="J290" s="729">
        <f t="shared" si="26"/>
        <v>0</v>
      </c>
      <c r="K290" s="729"/>
      <c r="L290" s="734"/>
      <c r="M290" s="729">
        <f t="shared" si="27"/>
        <v>0</v>
      </c>
      <c r="N290" s="734"/>
      <c r="O290" s="729">
        <f t="shared" si="28"/>
        <v>0</v>
      </c>
      <c r="P290" s="729">
        <f t="shared" si="29"/>
        <v>0</v>
      </c>
      <c r="Q290" s="677"/>
    </row>
    <row r="291" spans="2:17">
      <c r="B291" s="334"/>
      <c r="C291" s="725">
        <f>IF(D268="","-",+C290+1)</f>
        <v>2031</v>
      </c>
      <c r="D291" s="676">
        <f t="shared" si="30"/>
        <v>14927341.385593213</v>
      </c>
      <c r="E291" s="732">
        <f t="shared" si="31"/>
        <v>349177.57627118647</v>
      </c>
      <c r="F291" s="732">
        <f t="shared" si="24"/>
        <v>14578163.809322027</v>
      </c>
      <c r="G291" s="676">
        <f t="shared" si="25"/>
        <v>14752752.597457621</v>
      </c>
      <c r="H291" s="726">
        <f>+J269*G291+E291</f>
        <v>1941093.6968732188</v>
      </c>
      <c r="I291" s="733">
        <f>+J270*G291+E291</f>
        <v>1941093.6968732188</v>
      </c>
      <c r="J291" s="729">
        <f t="shared" si="26"/>
        <v>0</v>
      </c>
      <c r="K291" s="729"/>
      <c r="L291" s="734"/>
      <c r="M291" s="729">
        <f t="shared" si="27"/>
        <v>0</v>
      </c>
      <c r="N291" s="734"/>
      <c r="O291" s="729">
        <f t="shared" si="28"/>
        <v>0</v>
      </c>
      <c r="P291" s="729">
        <f t="shared" si="29"/>
        <v>0</v>
      </c>
      <c r="Q291" s="677"/>
    </row>
    <row r="292" spans="2:17">
      <c r="B292" s="334"/>
      <c r="C292" s="725">
        <f>IF(D268="","-",+C291+1)</f>
        <v>2032</v>
      </c>
      <c r="D292" s="676">
        <f t="shared" si="30"/>
        <v>14578163.809322027</v>
      </c>
      <c r="E292" s="732">
        <f t="shared" si="31"/>
        <v>349177.57627118647</v>
      </c>
      <c r="F292" s="732">
        <f t="shared" si="24"/>
        <v>14228986.233050842</v>
      </c>
      <c r="G292" s="676">
        <f t="shared" si="25"/>
        <v>14403575.021186434</v>
      </c>
      <c r="H292" s="726">
        <f>+J269*G292+E292</f>
        <v>1903415.2088116319</v>
      </c>
      <c r="I292" s="733">
        <f>+J270*G292+E292</f>
        <v>1903415.2088116319</v>
      </c>
      <c r="J292" s="729">
        <f t="shared" si="26"/>
        <v>0</v>
      </c>
      <c r="K292" s="729"/>
      <c r="L292" s="734"/>
      <c r="M292" s="729">
        <f t="shared" si="27"/>
        <v>0</v>
      </c>
      <c r="N292" s="734"/>
      <c r="O292" s="729">
        <f t="shared" si="28"/>
        <v>0</v>
      </c>
      <c r="P292" s="729">
        <f t="shared" si="29"/>
        <v>0</v>
      </c>
      <c r="Q292" s="677"/>
    </row>
    <row r="293" spans="2:17">
      <c r="B293" s="334"/>
      <c r="C293" s="725">
        <f>IF(D268="","-",+C292+1)</f>
        <v>2033</v>
      </c>
      <c r="D293" s="676">
        <f t="shared" si="30"/>
        <v>14228986.233050842</v>
      </c>
      <c r="E293" s="732">
        <f t="shared" si="31"/>
        <v>349177.57627118647</v>
      </c>
      <c r="F293" s="732">
        <f t="shared" si="24"/>
        <v>13879808.656779656</v>
      </c>
      <c r="G293" s="676">
        <f t="shared" si="25"/>
        <v>14054397.44491525</v>
      </c>
      <c r="H293" s="726">
        <f>+J269*G293+E293</f>
        <v>1865736.720750046</v>
      </c>
      <c r="I293" s="733">
        <f>+J270*G293+E293</f>
        <v>1865736.720750046</v>
      </c>
      <c r="J293" s="729">
        <f t="shared" si="26"/>
        <v>0</v>
      </c>
      <c r="K293" s="729"/>
      <c r="L293" s="734"/>
      <c r="M293" s="729">
        <f t="shared" si="27"/>
        <v>0</v>
      </c>
      <c r="N293" s="734"/>
      <c r="O293" s="729">
        <f t="shared" si="28"/>
        <v>0</v>
      </c>
      <c r="P293" s="729">
        <f t="shared" si="29"/>
        <v>0</v>
      </c>
      <c r="Q293" s="677"/>
    </row>
    <row r="294" spans="2:17">
      <c r="B294" s="334"/>
      <c r="C294" s="725">
        <f>IF(D268="","-",+C293+1)</f>
        <v>2034</v>
      </c>
      <c r="D294" s="676">
        <f t="shared" si="30"/>
        <v>13879808.656779656</v>
      </c>
      <c r="E294" s="732">
        <f t="shared" si="31"/>
        <v>349177.57627118647</v>
      </c>
      <c r="F294" s="732">
        <f t="shared" si="24"/>
        <v>13530631.080508471</v>
      </c>
      <c r="G294" s="676">
        <f t="shared" si="25"/>
        <v>13705219.868644062</v>
      </c>
      <c r="H294" s="726">
        <f>+J269*G294+E294</f>
        <v>1828058.2326884591</v>
      </c>
      <c r="I294" s="733">
        <f>+J270*G294+E294</f>
        <v>1828058.2326884591</v>
      </c>
      <c r="J294" s="729">
        <f t="shared" si="26"/>
        <v>0</v>
      </c>
      <c r="K294" s="729"/>
      <c r="L294" s="734"/>
      <c r="M294" s="729">
        <f t="shared" si="27"/>
        <v>0</v>
      </c>
      <c r="N294" s="734"/>
      <c r="O294" s="729">
        <f t="shared" si="28"/>
        <v>0</v>
      </c>
      <c r="P294" s="729">
        <f t="shared" si="29"/>
        <v>0</v>
      </c>
      <c r="Q294" s="677"/>
    </row>
    <row r="295" spans="2:17">
      <c r="B295" s="334"/>
      <c r="C295" s="725">
        <f>IF(D268="","-",+C294+1)</f>
        <v>2035</v>
      </c>
      <c r="D295" s="676">
        <f t="shared" si="30"/>
        <v>13530631.080508471</v>
      </c>
      <c r="E295" s="732">
        <f t="shared" si="31"/>
        <v>349177.57627118647</v>
      </c>
      <c r="F295" s="732">
        <f t="shared" si="24"/>
        <v>13181453.504237285</v>
      </c>
      <c r="G295" s="676">
        <f t="shared" si="25"/>
        <v>13356042.292372879</v>
      </c>
      <c r="H295" s="726">
        <f>+J269*G295+E295</f>
        <v>1790379.7446268727</v>
      </c>
      <c r="I295" s="733">
        <f>+J270*G295+E295</f>
        <v>1790379.7446268727</v>
      </c>
      <c r="J295" s="729">
        <f t="shared" si="26"/>
        <v>0</v>
      </c>
      <c r="K295" s="729"/>
      <c r="L295" s="734"/>
      <c r="M295" s="729">
        <f t="shared" si="27"/>
        <v>0</v>
      </c>
      <c r="N295" s="734"/>
      <c r="O295" s="729">
        <f t="shared" si="28"/>
        <v>0</v>
      </c>
      <c r="P295" s="729">
        <f t="shared" si="29"/>
        <v>0</v>
      </c>
      <c r="Q295" s="677"/>
    </row>
    <row r="296" spans="2:17">
      <c r="B296" s="334"/>
      <c r="C296" s="725">
        <f>IF(D268="","-",+C295+1)</f>
        <v>2036</v>
      </c>
      <c r="D296" s="676">
        <f t="shared" si="30"/>
        <v>13181453.504237285</v>
      </c>
      <c r="E296" s="732">
        <f t="shared" si="31"/>
        <v>349177.57627118647</v>
      </c>
      <c r="F296" s="732">
        <f t="shared" si="24"/>
        <v>12832275.927966099</v>
      </c>
      <c r="G296" s="676">
        <f t="shared" si="25"/>
        <v>13006864.716101691</v>
      </c>
      <c r="H296" s="726">
        <f>+J269*G296+E296</f>
        <v>1752701.2565652863</v>
      </c>
      <c r="I296" s="733">
        <f>+J270*G296+E296</f>
        <v>1752701.2565652863</v>
      </c>
      <c r="J296" s="729">
        <f t="shared" si="26"/>
        <v>0</v>
      </c>
      <c r="K296" s="729"/>
      <c r="L296" s="734"/>
      <c r="M296" s="729">
        <f t="shared" si="27"/>
        <v>0</v>
      </c>
      <c r="N296" s="734"/>
      <c r="O296" s="729">
        <f t="shared" si="28"/>
        <v>0</v>
      </c>
      <c r="P296" s="729">
        <f t="shared" si="29"/>
        <v>0</v>
      </c>
      <c r="Q296" s="677"/>
    </row>
    <row r="297" spans="2:17">
      <c r="B297" s="334"/>
      <c r="C297" s="725">
        <f>IF(D268="","-",+C296+1)</f>
        <v>2037</v>
      </c>
      <c r="D297" s="676">
        <f t="shared" si="30"/>
        <v>12832275.927966099</v>
      </c>
      <c r="E297" s="732">
        <f t="shared" si="31"/>
        <v>349177.57627118647</v>
      </c>
      <c r="F297" s="732">
        <f t="shared" si="24"/>
        <v>12483098.351694914</v>
      </c>
      <c r="G297" s="676">
        <f t="shared" si="25"/>
        <v>12657687.139830507</v>
      </c>
      <c r="H297" s="726">
        <f>+J269*G297+E297</f>
        <v>1715022.7685036999</v>
      </c>
      <c r="I297" s="733">
        <f>+J270*G297+E297</f>
        <v>1715022.7685036999</v>
      </c>
      <c r="J297" s="729">
        <f t="shared" si="26"/>
        <v>0</v>
      </c>
      <c r="K297" s="729"/>
      <c r="L297" s="734"/>
      <c r="M297" s="729">
        <f t="shared" si="27"/>
        <v>0</v>
      </c>
      <c r="N297" s="734"/>
      <c r="O297" s="729">
        <f t="shared" si="28"/>
        <v>0</v>
      </c>
      <c r="P297" s="729">
        <f t="shared" si="29"/>
        <v>0</v>
      </c>
      <c r="Q297" s="677"/>
    </row>
    <row r="298" spans="2:17">
      <c r="B298" s="334"/>
      <c r="C298" s="725">
        <f>IF(D268="","-",+C297+1)</f>
        <v>2038</v>
      </c>
      <c r="D298" s="676">
        <f t="shared" si="30"/>
        <v>12483098.351694914</v>
      </c>
      <c r="E298" s="732">
        <f t="shared" si="31"/>
        <v>349177.57627118647</v>
      </c>
      <c r="F298" s="732">
        <f t="shared" si="24"/>
        <v>12133920.775423728</v>
      </c>
      <c r="G298" s="676">
        <f t="shared" si="25"/>
        <v>12308509.56355932</v>
      </c>
      <c r="H298" s="726">
        <f>+J269*G298+E298</f>
        <v>1677344.2804421131</v>
      </c>
      <c r="I298" s="733">
        <f>+J270*G298+E298</f>
        <v>1677344.2804421131</v>
      </c>
      <c r="J298" s="729">
        <f t="shared" si="26"/>
        <v>0</v>
      </c>
      <c r="K298" s="729"/>
      <c r="L298" s="734"/>
      <c r="M298" s="729">
        <f t="shared" si="27"/>
        <v>0</v>
      </c>
      <c r="N298" s="734"/>
      <c r="O298" s="729">
        <f t="shared" si="28"/>
        <v>0</v>
      </c>
      <c r="P298" s="729">
        <f t="shared" si="29"/>
        <v>0</v>
      </c>
      <c r="Q298" s="677"/>
    </row>
    <row r="299" spans="2:17">
      <c r="B299" s="334"/>
      <c r="C299" s="725">
        <f>IF(D268="","-",+C298+1)</f>
        <v>2039</v>
      </c>
      <c r="D299" s="676">
        <f t="shared" si="30"/>
        <v>12133920.775423728</v>
      </c>
      <c r="E299" s="732">
        <f t="shared" si="31"/>
        <v>349177.57627118647</v>
      </c>
      <c r="F299" s="732">
        <f t="shared" si="24"/>
        <v>11784743.199152542</v>
      </c>
      <c r="G299" s="676">
        <f t="shared" si="25"/>
        <v>11959331.987288136</v>
      </c>
      <c r="H299" s="726">
        <f>+J269*G299+E299</f>
        <v>1639665.7923805267</v>
      </c>
      <c r="I299" s="733">
        <f>+J270*G299+E299</f>
        <v>1639665.7923805267</v>
      </c>
      <c r="J299" s="729">
        <f t="shared" si="26"/>
        <v>0</v>
      </c>
      <c r="K299" s="729"/>
      <c r="L299" s="734"/>
      <c r="M299" s="729">
        <f t="shared" si="27"/>
        <v>0</v>
      </c>
      <c r="N299" s="734"/>
      <c r="O299" s="729">
        <f t="shared" si="28"/>
        <v>0</v>
      </c>
      <c r="P299" s="729">
        <f t="shared" si="29"/>
        <v>0</v>
      </c>
      <c r="Q299" s="677"/>
    </row>
    <row r="300" spans="2:17">
      <c r="B300" s="334"/>
      <c r="C300" s="725">
        <f>IF(D268="","-",+C299+1)</f>
        <v>2040</v>
      </c>
      <c r="D300" s="676">
        <f t="shared" si="30"/>
        <v>11784743.199152542</v>
      </c>
      <c r="E300" s="732">
        <f t="shared" si="31"/>
        <v>349177.57627118647</v>
      </c>
      <c r="F300" s="732">
        <f t="shared" si="24"/>
        <v>11435565.622881357</v>
      </c>
      <c r="G300" s="676">
        <f t="shared" si="25"/>
        <v>11610154.411016949</v>
      </c>
      <c r="H300" s="726">
        <f>+J269*G300+E300</f>
        <v>1601987.3043189403</v>
      </c>
      <c r="I300" s="733">
        <f>+J270*G300+E300</f>
        <v>1601987.3043189403</v>
      </c>
      <c r="J300" s="729">
        <f t="shared" si="26"/>
        <v>0</v>
      </c>
      <c r="K300" s="729"/>
      <c r="L300" s="734"/>
      <c r="M300" s="729">
        <f t="shared" si="27"/>
        <v>0</v>
      </c>
      <c r="N300" s="734"/>
      <c r="O300" s="729">
        <f t="shared" si="28"/>
        <v>0</v>
      </c>
      <c r="P300" s="729">
        <f t="shared" si="29"/>
        <v>0</v>
      </c>
      <c r="Q300" s="677"/>
    </row>
    <row r="301" spans="2:17">
      <c r="B301" s="334"/>
      <c r="C301" s="725">
        <f>IF(D268="","-",+C300+1)</f>
        <v>2041</v>
      </c>
      <c r="D301" s="676">
        <f t="shared" si="30"/>
        <v>11435565.622881357</v>
      </c>
      <c r="E301" s="732">
        <f t="shared" si="31"/>
        <v>349177.57627118647</v>
      </c>
      <c r="F301" s="732">
        <f t="shared" si="24"/>
        <v>11086388.046610171</v>
      </c>
      <c r="G301" s="676">
        <f t="shared" si="25"/>
        <v>11260976.834745765</v>
      </c>
      <c r="H301" s="726">
        <f>+J269*G301+E301</f>
        <v>1564308.8162573539</v>
      </c>
      <c r="I301" s="733">
        <f>+J270*G301+E301</f>
        <v>1564308.8162573539</v>
      </c>
      <c r="J301" s="729">
        <f t="shared" si="26"/>
        <v>0</v>
      </c>
      <c r="K301" s="729"/>
      <c r="L301" s="734"/>
      <c r="M301" s="729">
        <f t="shared" si="27"/>
        <v>0</v>
      </c>
      <c r="N301" s="734"/>
      <c r="O301" s="729">
        <f t="shared" si="28"/>
        <v>0</v>
      </c>
      <c r="P301" s="729">
        <f t="shared" si="29"/>
        <v>0</v>
      </c>
      <c r="Q301" s="677"/>
    </row>
    <row r="302" spans="2:17">
      <c r="B302" s="334"/>
      <c r="C302" s="725">
        <f>IF(D268="","-",+C301+1)</f>
        <v>2042</v>
      </c>
      <c r="D302" s="676">
        <f t="shared" si="30"/>
        <v>11086388.046610171</v>
      </c>
      <c r="E302" s="732">
        <f t="shared" si="31"/>
        <v>349177.57627118647</v>
      </c>
      <c r="F302" s="732">
        <f t="shared" si="24"/>
        <v>10737210.470338985</v>
      </c>
      <c r="G302" s="676">
        <f t="shared" si="25"/>
        <v>10911799.258474577</v>
      </c>
      <c r="H302" s="726">
        <f>+J269*G302+E302</f>
        <v>1526630.328195767</v>
      </c>
      <c r="I302" s="733">
        <f>+J270*G302+E302</f>
        <v>1526630.328195767</v>
      </c>
      <c r="J302" s="729">
        <f t="shared" si="26"/>
        <v>0</v>
      </c>
      <c r="K302" s="729"/>
      <c r="L302" s="734"/>
      <c r="M302" s="729">
        <f t="shared" si="27"/>
        <v>0</v>
      </c>
      <c r="N302" s="734"/>
      <c r="O302" s="729">
        <f t="shared" si="28"/>
        <v>0</v>
      </c>
      <c r="P302" s="729">
        <f t="shared" si="29"/>
        <v>0</v>
      </c>
      <c r="Q302" s="677"/>
    </row>
    <row r="303" spans="2:17">
      <c r="B303" s="334"/>
      <c r="C303" s="725">
        <f>IF(D268="","-",+C302+1)</f>
        <v>2043</v>
      </c>
      <c r="D303" s="676">
        <f t="shared" si="30"/>
        <v>10737210.470338985</v>
      </c>
      <c r="E303" s="732">
        <f t="shared" si="31"/>
        <v>349177.57627118647</v>
      </c>
      <c r="F303" s="732">
        <f t="shared" si="24"/>
        <v>10388032.8940678</v>
      </c>
      <c r="G303" s="676">
        <f t="shared" si="25"/>
        <v>10562621.682203393</v>
      </c>
      <c r="H303" s="726">
        <f>+J269*G303+E303</f>
        <v>1488951.8401341811</v>
      </c>
      <c r="I303" s="733">
        <f>+J270*G303+E303</f>
        <v>1488951.8401341811</v>
      </c>
      <c r="J303" s="729">
        <f t="shared" si="26"/>
        <v>0</v>
      </c>
      <c r="K303" s="729"/>
      <c r="L303" s="734"/>
      <c r="M303" s="729">
        <f t="shared" si="27"/>
        <v>0</v>
      </c>
      <c r="N303" s="734"/>
      <c r="O303" s="729">
        <f t="shared" si="28"/>
        <v>0</v>
      </c>
      <c r="P303" s="729">
        <f t="shared" si="29"/>
        <v>0</v>
      </c>
      <c r="Q303" s="677"/>
    </row>
    <row r="304" spans="2:17">
      <c r="B304" s="334"/>
      <c r="C304" s="725">
        <f>IF(D268="","-",+C303+1)</f>
        <v>2044</v>
      </c>
      <c r="D304" s="676">
        <f t="shared" si="30"/>
        <v>10388032.8940678</v>
      </c>
      <c r="E304" s="732">
        <f t="shared" si="31"/>
        <v>349177.57627118647</v>
      </c>
      <c r="F304" s="732">
        <f t="shared" si="24"/>
        <v>10038855.317796614</v>
      </c>
      <c r="G304" s="676">
        <f t="shared" si="25"/>
        <v>10213444.105932206</v>
      </c>
      <c r="H304" s="726">
        <f>+J269*G304+E304</f>
        <v>1451273.3520725942</v>
      </c>
      <c r="I304" s="733">
        <f>+J270*G304+E304</f>
        <v>1451273.3520725942</v>
      </c>
      <c r="J304" s="729">
        <f t="shared" si="26"/>
        <v>0</v>
      </c>
      <c r="K304" s="729"/>
      <c r="L304" s="734"/>
      <c r="M304" s="729">
        <f t="shared" si="27"/>
        <v>0</v>
      </c>
      <c r="N304" s="734"/>
      <c r="O304" s="729">
        <f t="shared" si="28"/>
        <v>0</v>
      </c>
      <c r="P304" s="729">
        <f t="shared" si="29"/>
        <v>0</v>
      </c>
      <c r="Q304" s="677"/>
    </row>
    <row r="305" spans="2:17">
      <c r="B305" s="334"/>
      <c r="C305" s="725">
        <f>IF(D268="","-",+C304+1)</f>
        <v>2045</v>
      </c>
      <c r="D305" s="676">
        <f t="shared" si="30"/>
        <v>10038855.317796614</v>
      </c>
      <c r="E305" s="732">
        <f t="shared" si="31"/>
        <v>349177.57627118647</v>
      </c>
      <c r="F305" s="732">
        <f t="shared" si="24"/>
        <v>9689677.7415254284</v>
      </c>
      <c r="G305" s="676">
        <f t="shared" si="25"/>
        <v>9864266.5296610221</v>
      </c>
      <c r="H305" s="726">
        <f>+J269*G305+E305</f>
        <v>1413594.8640110078</v>
      </c>
      <c r="I305" s="733">
        <f>+J270*G305+E305</f>
        <v>1413594.8640110078</v>
      </c>
      <c r="J305" s="729">
        <f t="shared" si="26"/>
        <v>0</v>
      </c>
      <c r="K305" s="729"/>
      <c r="L305" s="734"/>
      <c r="M305" s="729">
        <f t="shared" si="27"/>
        <v>0</v>
      </c>
      <c r="N305" s="734"/>
      <c r="O305" s="729">
        <f t="shared" si="28"/>
        <v>0</v>
      </c>
      <c r="P305" s="729">
        <f t="shared" si="29"/>
        <v>0</v>
      </c>
      <c r="Q305" s="677"/>
    </row>
    <row r="306" spans="2:17">
      <c r="B306" s="334"/>
      <c r="C306" s="725">
        <f>IF(D268="","-",+C305+1)</f>
        <v>2046</v>
      </c>
      <c r="D306" s="676">
        <f t="shared" si="30"/>
        <v>9689677.7415254284</v>
      </c>
      <c r="E306" s="732">
        <f t="shared" si="31"/>
        <v>349177.57627118647</v>
      </c>
      <c r="F306" s="732">
        <f t="shared" si="24"/>
        <v>9340500.1652542427</v>
      </c>
      <c r="G306" s="676">
        <f t="shared" si="25"/>
        <v>9515088.9533898346</v>
      </c>
      <c r="H306" s="726">
        <f>+J269*G306+E306</f>
        <v>1375916.3759494212</v>
      </c>
      <c r="I306" s="733">
        <f>+J270*G306+E306</f>
        <v>1375916.3759494212</v>
      </c>
      <c r="J306" s="729">
        <f t="shared" si="26"/>
        <v>0</v>
      </c>
      <c r="K306" s="729"/>
      <c r="L306" s="734"/>
      <c r="M306" s="729">
        <f t="shared" si="27"/>
        <v>0</v>
      </c>
      <c r="N306" s="734"/>
      <c r="O306" s="729">
        <f t="shared" si="28"/>
        <v>0</v>
      </c>
      <c r="P306" s="729">
        <f t="shared" si="29"/>
        <v>0</v>
      </c>
      <c r="Q306" s="677"/>
    </row>
    <row r="307" spans="2:17">
      <c r="B307" s="334"/>
      <c r="C307" s="725">
        <f>IF(D268="","-",+C306+1)</f>
        <v>2047</v>
      </c>
      <c r="D307" s="676">
        <f t="shared" si="30"/>
        <v>9340500.1652542427</v>
      </c>
      <c r="E307" s="732">
        <f t="shared" si="31"/>
        <v>349177.57627118647</v>
      </c>
      <c r="F307" s="732">
        <f t="shared" si="24"/>
        <v>8991322.5889830571</v>
      </c>
      <c r="G307" s="676">
        <f t="shared" si="25"/>
        <v>9165911.3771186508</v>
      </c>
      <c r="H307" s="726">
        <f>+J269*G307+E307</f>
        <v>1338237.887887835</v>
      </c>
      <c r="I307" s="733">
        <f>+J270*G307+E307</f>
        <v>1338237.887887835</v>
      </c>
      <c r="J307" s="729">
        <f t="shared" si="26"/>
        <v>0</v>
      </c>
      <c r="K307" s="729"/>
      <c r="L307" s="734"/>
      <c r="M307" s="729">
        <f t="shared" si="27"/>
        <v>0</v>
      </c>
      <c r="N307" s="734"/>
      <c r="O307" s="729">
        <f t="shared" si="28"/>
        <v>0</v>
      </c>
      <c r="P307" s="729">
        <f t="shared" si="29"/>
        <v>0</v>
      </c>
      <c r="Q307" s="677"/>
    </row>
    <row r="308" spans="2:17">
      <c r="B308" s="334"/>
      <c r="C308" s="725">
        <f>IF(D268="","-",+C307+1)</f>
        <v>2048</v>
      </c>
      <c r="D308" s="676">
        <f t="shared" si="30"/>
        <v>8991322.5889830571</v>
      </c>
      <c r="E308" s="732">
        <f t="shared" si="31"/>
        <v>349177.57627118647</v>
      </c>
      <c r="F308" s="732">
        <f t="shared" si="24"/>
        <v>8642145.0127118714</v>
      </c>
      <c r="G308" s="676">
        <f t="shared" si="25"/>
        <v>8816733.8008474633</v>
      </c>
      <c r="H308" s="726">
        <f>+J269*G308+E308</f>
        <v>1300559.3998262482</v>
      </c>
      <c r="I308" s="733">
        <f>+J270*G308+E308</f>
        <v>1300559.3998262482</v>
      </c>
      <c r="J308" s="729">
        <f t="shared" si="26"/>
        <v>0</v>
      </c>
      <c r="K308" s="729"/>
      <c r="L308" s="734"/>
      <c r="M308" s="729">
        <f t="shared" si="27"/>
        <v>0</v>
      </c>
      <c r="N308" s="734"/>
      <c r="O308" s="729">
        <f t="shared" si="28"/>
        <v>0</v>
      </c>
      <c r="P308" s="729">
        <f t="shared" si="29"/>
        <v>0</v>
      </c>
      <c r="Q308" s="677"/>
    </row>
    <row r="309" spans="2:17">
      <c r="B309" s="334"/>
      <c r="C309" s="725">
        <f>IF(D268="","-",+C308+1)</f>
        <v>2049</v>
      </c>
      <c r="D309" s="676">
        <f t="shared" si="30"/>
        <v>8642145.0127118714</v>
      </c>
      <c r="E309" s="732">
        <f t="shared" si="31"/>
        <v>349177.57627118647</v>
      </c>
      <c r="F309" s="732">
        <f t="shared" si="24"/>
        <v>8292967.4364406848</v>
      </c>
      <c r="G309" s="676">
        <f t="shared" si="25"/>
        <v>8467556.2245762777</v>
      </c>
      <c r="H309" s="726">
        <f>+J269*G309+E309</f>
        <v>1262880.9117646618</v>
      </c>
      <c r="I309" s="733">
        <f>+J270*G309+E309</f>
        <v>1262880.9117646618</v>
      </c>
      <c r="J309" s="729">
        <f t="shared" si="26"/>
        <v>0</v>
      </c>
      <c r="K309" s="729"/>
      <c r="L309" s="734"/>
      <c r="M309" s="729">
        <f t="shared" si="27"/>
        <v>0</v>
      </c>
      <c r="N309" s="734"/>
      <c r="O309" s="729">
        <f t="shared" si="28"/>
        <v>0</v>
      </c>
      <c r="P309" s="729">
        <f t="shared" si="29"/>
        <v>0</v>
      </c>
      <c r="Q309" s="677"/>
    </row>
    <row r="310" spans="2:17">
      <c r="B310" s="334"/>
      <c r="C310" s="725">
        <f>IF(D268="","-",+C309+1)</f>
        <v>2050</v>
      </c>
      <c r="D310" s="676">
        <f t="shared" si="30"/>
        <v>8292967.4364406848</v>
      </c>
      <c r="E310" s="732">
        <f t="shared" si="31"/>
        <v>349177.57627118647</v>
      </c>
      <c r="F310" s="732">
        <f t="shared" si="24"/>
        <v>7943789.8601694982</v>
      </c>
      <c r="G310" s="676">
        <f t="shared" si="25"/>
        <v>8118378.648305092</v>
      </c>
      <c r="H310" s="726">
        <f>+J269*G310+E310</f>
        <v>1225202.4237030752</v>
      </c>
      <c r="I310" s="733">
        <f>+J270*G310+E310</f>
        <v>1225202.4237030752</v>
      </c>
      <c r="J310" s="729">
        <f t="shared" si="26"/>
        <v>0</v>
      </c>
      <c r="K310" s="729"/>
      <c r="L310" s="734"/>
      <c r="M310" s="729">
        <f t="shared" si="27"/>
        <v>0</v>
      </c>
      <c r="N310" s="734"/>
      <c r="O310" s="729">
        <f t="shared" si="28"/>
        <v>0</v>
      </c>
      <c r="P310" s="729">
        <f t="shared" si="29"/>
        <v>0</v>
      </c>
      <c r="Q310" s="677"/>
    </row>
    <row r="311" spans="2:17">
      <c r="B311" s="334"/>
      <c r="C311" s="725">
        <f>IF(D268="","-",+C310+1)</f>
        <v>2051</v>
      </c>
      <c r="D311" s="676">
        <f t="shared" si="30"/>
        <v>7943789.8601694982</v>
      </c>
      <c r="E311" s="732">
        <f t="shared" si="31"/>
        <v>349177.57627118647</v>
      </c>
      <c r="F311" s="732">
        <f t="shared" si="24"/>
        <v>7594612.2838983117</v>
      </c>
      <c r="G311" s="676">
        <f t="shared" si="25"/>
        <v>7769201.0720339045</v>
      </c>
      <c r="H311" s="726">
        <f>+J269*G311+E311</f>
        <v>1187523.9356414885</v>
      </c>
      <c r="I311" s="733">
        <f>+J270*G311+E311</f>
        <v>1187523.9356414885</v>
      </c>
      <c r="J311" s="729">
        <f t="shared" si="26"/>
        <v>0</v>
      </c>
      <c r="K311" s="729"/>
      <c r="L311" s="734"/>
      <c r="M311" s="729">
        <f t="shared" si="27"/>
        <v>0</v>
      </c>
      <c r="N311" s="734"/>
      <c r="O311" s="729">
        <f t="shared" si="28"/>
        <v>0</v>
      </c>
      <c r="P311" s="729">
        <f t="shared" si="29"/>
        <v>0</v>
      </c>
      <c r="Q311" s="677"/>
    </row>
    <row r="312" spans="2:17">
      <c r="B312" s="334"/>
      <c r="C312" s="725">
        <f>IF(D268="","-",+C311+1)</f>
        <v>2052</v>
      </c>
      <c r="D312" s="676">
        <f t="shared" si="30"/>
        <v>7594612.2838983117</v>
      </c>
      <c r="E312" s="732">
        <f t="shared" si="31"/>
        <v>349177.57627118647</v>
      </c>
      <c r="F312" s="732">
        <f t="shared" si="24"/>
        <v>7245434.7076271251</v>
      </c>
      <c r="G312" s="676">
        <f t="shared" si="25"/>
        <v>7420023.4957627188</v>
      </c>
      <c r="H312" s="726">
        <f>+J269*G312+E312</f>
        <v>1149845.4475799021</v>
      </c>
      <c r="I312" s="733">
        <f>+J270*G312+E312</f>
        <v>1149845.4475799021</v>
      </c>
      <c r="J312" s="729">
        <f t="shared" si="26"/>
        <v>0</v>
      </c>
      <c r="K312" s="729"/>
      <c r="L312" s="734"/>
      <c r="M312" s="729">
        <f t="shared" si="27"/>
        <v>0</v>
      </c>
      <c r="N312" s="734"/>
      <c r="O312" s="729">
        <f t="shared" si="28"/>
        <v>0</v>
      </c>
      <c r="P312" s="729">
        <f t="shared" si="29"/>
        <v>0</v>
      </c>
      <c r="Q312" s="677"/>
    </row>
    <row r="313" spans="2:17">
      <c r="B313" s="334"/>
      <c r="C313" s="725">
        <f>IF(D268="","-",+C312+1)</f>
        <v>2053</v>
      </c>
      <c r="D313" s="676">
        <f t="shared" si="30"/>
        <v>7245434.7076271251</v>
      </c>
      <c r="E313" s="732">
        <f t="shared" si="31"/>
        <v>349177.57627118647</v>
      </c>
      <c r="F313" s="732">
        <f t="shared" si="24"/>
        <v>6896257.1313559385</v>
      </c>
      <c r="G313" s="676">
        <f t="shared" si="25"/>
        <v>7070845.9194915313</v>
      </c>
      <c r="H313" s="726">
        <f>+J269*G313+E313</f>
        <v>1112166.9595183153</v>
      </c>
      <c r="I313" s="733">
        <f>+J270*G313+E313</f>
        <v>1112166.9595183153</v>
      </c>
      <c r="J313" s="729">
        <f t="shared" si="26"/>
        <v>0</v>
      </c>
      <c r="K313" s="729"/>
      <c r="L313" s="734"/>
      <c r="M313" s="729">
        <f t="shared" si="27"/>
        <v>0</v>
      </c>
      <c r="N313" s="734"/>
      <c r="O313" s="729">
        <f t="shared" si="28"/>
        <v>0</v>
      </c>
      <c r="P313" s="729">
        <f t="shared" si="29"/>
        <v>0</v>
      </c>
      <c r="Q313" s="677"/>
    </row>
    <row r="314" spans="2:17">
      <c r="B314" s="334"/>
      <c r="C314" s="725">
        <f>IF(D268="","-",+C313+1)</f>
        <v>2054</v>
      </c>
      <c r="D314" s="676">
        <f t="shared" si="30"/>
        <v>6896257.1313559385</v>
      </c>
      <c r="E314" s="732">
        <f t="shared" si="31"/>
        <v>349177.57627118647</v>
      </c>
      <c r="F314" s="732">
        <f t="shared" si="24"/>
        <v>6547079.5550847519</v>
      </c>
      <c r="G314" s="676">
        <f t="shared" si="25"/>
        <v>6721668.3432203457</v>
      </c>
      <c r="H314" s="726">
        <f>+J269*G314+E314</f>
        <v>1074488.4714567289</v>
      </c>
      <c r="I314" s="733">
        <f>+J270*G314+E314</f>
        <v>1074488.4714567289</v>
      </c>
      <c r="J314" s="729">
        <f t="shared" si="26"/>
        <v>0</v>
      </c>
      <c r="K314" s="729"/>
      <c r="L314" s="734"/>
      <c r="M314" s="729">
        <f t="shared" si="27"/>
        <v>0</v>
      </c>
      <c r="N314" s="734"/>
      <c r="O314" s="729">
        <f t="shared" si="28"/>
        <v>0</v>
      </c>
      <c r="P314" s="729">
        <f t="shared" si="29"/>
        <v>0</v>
      </c>
      <c r="Q314" s="677"/>
    </row>
    <row r="315" spans="2:17">
      <c r="B315" s="334"/>
      <c r="C315" s="725">
        <f>IF(D268="","-",+C314+1)</f>
        <v>2055</v>
      </c>
      <c r="D315" s="676">
        <f t="shared" si="30"/>
        <v>6547079.5550847519</v>
      </c>
      <c r="E315" s="732">
        <f t="shared" si="31"/>
        <v>349177.57627118647</v>
      </c>
      <c r="F315" s="732">
        <f t="shared" si="24"/>
        <v>6197901.9788135653</v>
      </c>
      <c r="G315" s="676">
        <f t="shared" si="25"/>
        <v>6372490.7669491582</v>
      </c>
      <c r="H315" s="726">
        <f>+J269*G315+E315</f>
        <v>1036809.9833951421</v>
      </c>
      <c r="I315" s="733">
        <f>+J270*G315+E315</f>
        <v>1036809.9833951421</v>
      </c>
      <c r="J315" s="729">
        <f t="shared" si="26"/>
        <v>0</v>
      </c>
      <c r="K315" s="729"/>
      <c r="L315" s="734"/>
      <c r="M315" s="729">
        <f t="shared" si="27"/>
        <v>0</v>
      </c>
      <c r="N315" s="734"/>
      <c r="O315" s="729">
        <f t="shared" si="28"/>
        <v>0</v>
      </c>
      <c r="P315" s="729">
        <f t="shared" si="29"/>
        <v>0</v>
      </c>
      <c r="Q315" s="677"/>
    </row>
    <row r="316" spans="2:17">
      <c r="B316" s="334"/>
      <c r="C316" s="725">
        <f>IF(D268="","-",+C315+1)</f>
        <v>2056</v>
      </c>
      <c r="D316" s="676">
        <f t="shared" si="30"/>
        <v>6197901.9788135653</v>
      </c>
      <c r="E316" s="732">
        <f t="shared" si="31"/>
        <v>349177.57627118647</v>
      </c>
      <c r="F316" s="732">
        <f t="shared" si="24"/>
        <v>5848724.4025423788</v>
      </c>
      <c r="G316" s="676">
        <f t="shared" si="25"/>
        <v>6023313.1906779725</v>
      </c>
      <c r="H316" s="726">
        <f>+J269*G316+E316</f>
        <v>999131.49533355562</v>
      </c>
      <c r="I316" s="733">
        <f>+J270*G316+E316</f>
        <v>999131.49533355562</v>
      </c>
      <c r="J316" s="729">
        <f t="shared" si="26"/>
        <v>0</v>
      </c>
      <c r="K316" s="729"/>
      <c r="L316" s="734"/>
      <c r="M316" s="729">
        <f t="shared" si="27"/>
        <v>0</v>
      </c>
      <c r="N316" s="734"/>
      <c r="O316" s="729">
        <f t="shared" si="28"/>
        <v>0</v>
      </c>
      <c r="P316" s="729">
        <f t="shared" si="29"/>
        <v>0</v>
      </c>
      <c r="Q316" s="677"/>
    </row>
    <row r="317" spans="2:17">
      <c r="B317" s="334"/>
      <c r="C317" s="725">
        <f>IF(D268="","-",+C316+1)</f>
        <v>2057</v>
      </c>
      <c r="D317" s="676">
        <f t="shared" si="30"/>
        <v>5848724.4025423788</v>
      </c>
      <c r="E317" s="732">
        <f t="shared" si="31"/>
        <v>349177.57627118647</v>
      </c>
      <c r="F317" s="732">
        <f t="shared" si="24"/>
        <v>5499546.8262711922</v>
      </c>
      <c r="G317" s="676">
        <f t="shared" si="25"/>
        <v>5674135.614406785</v>
      </c>
      <c r="H317" s="726">
        <f>+J269*G317+E317</f>
        <v>961453.00727196899</v>
      </c>
      <c r="I317" s="733">
        <f>+J270*G317+E317</f>
        <v>961453.00727196899</v>
      </c>
      <c r="J317" s="729">
        <f t="shared" si="26"/>
        <v>0</v>
      </c>
      <c r="K317" s="729"/>
      <c r="L317" s="734"/>
      <c r="M317" s="729">
        <f t="shared" si="27"/>
        <v>0</v>
      </c>
      <c r="N317" s="734"/>
      <c r="O317" s="729">
        <f t="shared" si="28"/>
        <v>0</v>
      </c>
      <c r="P317" s="729">
        <f t="shared" si="29"/>
        <v>0</v>
      </c>
      <c r="Q317" s="677"/>
    </row>
    <row r="318" spans="2:17">
      <c r="B318" s="334"/>
      <c r="C318" s="725">
        <f>IF(D268="","-",+C317+1)</f>
        <v>2058</v>
      </c>
      <c r="D318" s="676">
        <f t="shared" si="30"/>
        <v>5499546.8262711922</v>
      </c>
      <c r="E318" s="732">
        <f t="shared" si="31"/>
        <v>349177.57627118647</v>
      </c>
      <c r="F318" s="732">
        <f t="shared" si="24"/>
        <v>5150369.2500000056</v>
      </c>
      <c r="G318" s="676">
        <f t="shared" si="25"/>
        <v>5324958.0381355993</v>
      </c>
      <c r="H318" s="726">
        <f>+J269*G318+E318</f>
        <v>923774.51921038248</v>
      </c>
      <c r="I318" s="733">
        <f>+J270*G318+E318</f>
        <v>923774.51921038248</v>
      </c>
      <c r="J318" s="729">
        <f t="shared" si="26"/>
        <v>0</v>
      </c>
      <c r="K318" s="729"/>
      <c r="L318" s="734"/>
      <c r="M318" s="729">
        <f t="shared" si="27"/>
        <v>0</v>
      </c>
      <c r="N318" s="734"/>
      <c r="O318" s="729">
        <f t="shared" si="28"/>
        <v>0</v>
      </c>
      <c r="P318" s="729">
        <f t="shared" si="29"/>
        <v>0</v>
      </c>
      <c r="Q318" s="677"/>
    </row>
    <row r="319" spans="2:17">
      <c r="B319" s="334"/>
      <c r="C319" s="725">
        <f>IF(D268="","-",+C318+1)</f>
        <v>2059</v>
      </c>
      <c r="D319" s="676">
        <f t="shared" si="30"/>
        <v>5150369.2500000056</v>
      </c>
      <c r="E319" s="732">
        <f t="shared" si="31"/>
        <v>349177.57627118647</v>
      </c>
      <c r="F319" s="732">
        <f t="shared" si="24"/>
        <v>4801191.673728819</v>
      </c>
      <c r="G319" s="676">
        <f t="shared" si="25"/>
        <v>4975780.4618644118</v>
      </c>
      <c r="H319" s="726">
        <f>+J269*G319+E319</f>
        <v>886096.03114879574</v>
      </c>
      <c r="I319" s="733">
        <f>+J270*G319+E319</f>
        <v>886096.03114879574</v>
      </c>
      <c r="J319" s="729">
        <f t="shared" si="26"/>
        <v>0</v>
      </c>
      <c r="K319" s="729"/>
      <c r="L319" s="734"/>
      <c r="M319" s="729">
        <f t="shared" si="27"/>
        <v>0</v>
      </c>
      <c r="N319" s="734"/>
      <c r="O319" s="729">
        <f t="shared" si="28"/>
        <v>0</v>
      </c>
      <c r="P319" s="729">
        <f t="shared" si="29"/>
        <v>0</v>
      </c>
      <c r="Q319" s="677"/>
    </row>
    <row r="320" spans="2:17">
      <c r="B320" s="334"/>
      <c r="C320" s="725">
        <f>IF(D268="","-",+C319+1)</f>
        <v>2060</v>
      </c>
      <c r="D320" s="676">
        <f t="shared" si="30"/>
        <v>4801191.673728819</v>
      </c>
      <c r="E320" s="732">
        <f t="shared" si="31"/>
        <v>349177.57627118647</v>
      </c>
      <c r="F320" s="732">
        <f t="shared" si="24"/>
        <v>4452014.0974576324</v>
      </c>
      <c r="G320" s="676">
        <f t="shared" si="25"/>
        <v>4626602.8855932262</v>
      </c>
      <c r="H320" s="726">
        <f>+J269*G320+E320</f>
        <v>848417.54308720934</v>
      </c>
      <c r="I320" s="733">
        <f>+J270*G320+E320</f>
        <v>848417.54308720934</v>
      </c>
      <c r="J320" s="729">
        <f t="shared" si="26"/>
        <v>0</v>
      </c>
      <c r="K320" s="729"/>
      <c r="L320" s="734"/>
      <c r="M320" s="729">
        <f t="shared" si="27"/>
        <v>0</v>
      </c>
      <c r="N320" s="734"/>
      <c r="O320" s="729">
        <f t="shared" si="28"/>
        <v>0</v>
      </c>
      <c r="P320" s="729">
        <f t="shared" si="29"/>
        <v>0</v>
      </c>
      <c r="Q320" s="677"/>
    </row>
    <row r="321" spans="2:17">
      <c r="B321" s="334"/>
      <c r="C321" s="725">
        <f>IF(D268="","-",+C320+1)</f>
        <v>2061</v>
      </c>
      <c r="D321" s="676">
        <f t="shared" si="30"/>
        <v>4452014.0974576324</v>
      </c>
      <c r="E321" s="732">
        <f t="shared" si="31"/>
        <v>349177.57627118647</v>
      </c>
      <c r="F321" s="732">
        <f t="shared" si="24"/>
        <v>4102836.5211864458</v>
      </c>
      <c r="G321" s="676">
        <f t="shared" si="25"/>
        <v>4277425.3093220387</v>
      </c>
      <c r="H321" s="726">
        <f>+J269*G321+E321</f>
        <v>810739.05502562248</v>
      </c>
      <c r="I321" s="733">
        <f>+J270*G321+E321</f>
        <v>810739.05502562248</v>
      </c>
      <c r="J321" s="729">
        <f t="shared" si="26"/>
        <v>0</v>
      </c>
      <c r="K321" s="729"/>
      <c r="L321" s="734"/>
      <c r="M321" s="729">
        <f t="shared" si="27"/>
        <v>0</v>
      </c>
      <c r="N321" s="734"/>
      <c r="O321" s="729">
        <f t="shared" si="28"/>
        <v>0</v>
      </c>
      <c r="P321" s="729">
        <f t="shared" si="29"/>
        <v>0</v>
      </c>
      <c r="Q321" s="677"/>
    </row>
    <row r="322" spans="2:17">
      <c r="B322" s="334"/>
      <c r="C322" s="725">
        <f>IF(D268="","-",+C321+1)</f>
        <v>2062</v>
      </c>
      <c r="D322" s="676">
        <f t="shared" si="30"/>
        <v>4102836.5211864458</v>
      </c>
      <c r="E322" s="732">
        <f t="shared" si="31"/>
        <v>349177.57627118647</v>
      </c>
      <c r="F322" s="732">
        <f t="shared" si="24"/>
        <v>3753658.9449152593</v>
      </c>
      <c r="G322" s="676">
        <f t="shared" si="25"/>
        <v>3928247.7330508525</v>
      </c>
      <c r="H322" s="726">
        <f>+J269*G322+E322</f>
        <v>773060.56696403609</v>
      </c>
      <c r="I322" s="733">
        <f>+J270*G322+E322</f>
        <v>773060.56696403609</v>
      </c>
      <c r="J322" s="729">
        <f t="shared" si="26"/>
        <v>0</v>
      </c>
      <c r="K322" s="729"/>
      <c r="L322" s="734"/>
      <c r="M322" s="729">
        <f t="shared" si="27"/>
        <v>0</v>
      </c>
      <c r="N322" s="734"/>
      <c r="O322" s="729">
        <f t="shared" si="28"/>
        <v>0</v>
      </c>
      <c r="P322" s="729">
        <f t="shared" si="29"/>
        <v>0</v>
      </c>
      <c r="Q322" s="677"/>
    </row>
    <row r="323" spans="2:17">
      <c r="B323" s="334"/>
      <c r="C323" s="725">
        <f>IF(D268="","-",+C322+1)</f>
        <v>2063</v>
      </c>
      <c r="D323" s="676">
        <f t="shared" si="30"/>
        <v>3753658.9449152593</v>
      </c>
      <c r="E323" s="732">
        <f t="shared" si="31"/>
        <v>349177.57627118647</v>
      </c>
      <c r="F323" s="732">
        <f t="shared" si="24"/>
        <v>3404481.3686440727</v>
      </c>
      <c r="G323" s="676">
        <f t="shared" si="25"/>
        <v>3579070.156779666</v>
      </c>
      <c r="H323" s="726">
        <f>+J269*G323+E323</f>
        <v>735382.07890244946</v>
      </c>
      <c r="I323" s="733">
        <f>+J270*G323+E323</f>
        <v>735382.07890244946</v>
      </c>
      <c r="J323" s="729">
        <f t="shared" si="26"/>
        <v>0</v>
      </c>
      <c r="K323" s="729"/>
      <c r="L323" s="734"/>
      <c r="M323" s="729">
        <f t="shared" si="27"/>
        <v>0</v>
      </c>
      <c r="N323" s="734"/>
      <c r="O323" s="729">
        <f t="shared" si="28"/>
        <v>0</v>
      </c>
      <c r="P323" s="729">
        <f t="shared" si="29"/>
        <v>0</v>
      </c>
      <c r="Q323" s="677"/>
    </row>
    <row r="324" spans="2:17">
      <c r="B324" s="334"/>
      <c r="C324" s="725">
        <f>IF(D268="","-",+C323+1)</f>
        <v>2064</v>
      </c>
      <c r="D324" s="676">
        <f t="shared" si="30"/>
        <v>3404481.3686440727</v>
      </c>
      <c r="E324" s="732">
        <f t="shared" si="31"/>
        <v>349177.57627118647</v>
      </c>
      <c r="F324" s="732">
        <f t="shared" si="24"/>
        <v>3055303.7923728861</v>
      </c>
      <c r="G324" s="676">
        <f t="shared" si="25"/>
        <v>3229892.5805084794</v>
      </c>
      <c r="H324" s="726">
        <f>+J269*G324+E324</f>
        <v>697703.59084086283</v>
      </c>
      <c r="I324" s="733">
        <f>+J270*G324+E324</f>
        <v>697703.59084086283</v>
      </c>
      <c r="J324" s="729">
        <f t="shared" si="26"/>
        <v>0</v>
      </c>
      <c r="K324" s="729"/>
      <c r="L324" s="734"/>
      <c r="M324" s="729">
        <f t="shared" si="27"/>
        <v>0</v>
      </c>
      <c r="N324" s="734"/>
      <c r="O324" s="729">
        <f t="shared" si="28"/>
        <v>0</v>
      </c>
      <c r="P324" s="729">
        <f t="shared" si="29"/>
        <v>0</v>
      </c>
      <c r="Q324" s="677"/>
    </row>
    <row r="325" spans="2:17">
      <c r="B325" s="334"/>
      <c r="C325" s="725">
        <f>IF(D268="","-",+C324+1)</f>
        <v>2065</v>
      </c>
      <c r="D325" s="676">
        <f t="shared" si="30"/>
        <v>3055303.7923728861</v>
      </c>
      <c r="E325" s="732">
        <f t="shared" si="31"/>
        <v>349177.57627118647</v>
      </c>
      <c r="F325" s="732">
        <f t="shared" si="24"/>
        <v>2706126.2161016995</v>
      </c>
      <c r="G325" s="676">
        <f t="shared" si="25"/>
        <v>2880715.0042372928</v>
      </c>
      <c r="H325" s="726">
        <f>+J269*G325+E325</f>
        <v>660025.1027792762</v>
      </c>
      <c r="I325" s="733">
        <f>+J270*G325+E325</f>
        <v>660025.1027792762</v>
      </c>
      <c r="J325" s="729">
        <f t="shared" si="26"/>
        <v>0</v>
      </c>
      <c r="K325" s="729"/>
      <c r="L325" s="734"/>
      <c r="M325" s="729">
        <f t="shared" si="27"/>
        <v>0</v>
      </c>
      <c r="N325" s="734"/>
      <c r="O325" s="729">
        <f t="shared" si="28"/>
        <v>0</v>
      </c>
      <c r="P325" s="729">
        <f t="shared" si="29"/>
        <v>0</v>
      </c>
      <c r="Q325" s="677"/>
    </row>
    <row r="326" spans="2:17">
      <c r="B326" s="334"/>
      <c r="C326" s="725">
        <f>IF(D268="","-",+C325+1)</f>
        <v>2066</v>
      </c>
      <c r="D326" s="676">
        <f t="shared" si="30"/>
        <v>2706126.2161016995</v>
      </c>
      <c r="E326" s="732">
        <f t="shared" si="31"/>
        <v>349177.57627118647</v>
      </c>
      <c r="F326" s="732">
        <f t="shared" si="24"/>
        <v>2356948.6398305129</v>
      </c>
      <c r="G326" s="676">
        <f t="shared" si="25"/>
        <v>2531537.4279661062</v>
      </c>
      <c r="H326" s="726">
        <f>+J269*G326+E326</f>
        <v>622346.61471768958</v>
      </c>
      <c r="I326" s="733">
        <f>+J270*G326+E326</f>
        <v>622346.61471768958</v>
      </c>
      <c r="J326" s="729">
        <f t="shared" si="26"/>
        <v>0</v>
      </c>
      <c r="K326" s="729"/>
      <c r="L326" s="734"/>
      <c r="M326" s="729">
        <f t="shared" si="27"/>
        <v>0</v>
      </c>
      <c r="N326" s="734"/>
      <c r="O326" s="729">
        <f t="shared" si="28"/>
        <v>0</v>
      </c>
      <c r="P326" s="729">
        <f t="shared" si="29"/>
        <v>0</v>
      </c>
      <c r="Q326" s="677"/>
    </row>
    <row r="327" spans="2:17">
      <c r="B327" s="334"/>
      <c r="C327" s="725">
        <f>IF(D268="","-",+C326+1)</f>
        <v>2067</v>
      </c>
      <c r="D327" s="676">
        <f t="shared" si="30"/>
        <v>2356948.6398305129</v>
      </c>
      <c r="E327" s="732">
        <f t="shared" si="31"/>
        <v>349177.57627118647</v>
      </c>
      <c r="F327" s="732">
        <f t="shared" si="24"/>
        <v>2007771.0635593263</v>
      </c>
      <c r="G327" s="676">
        <f t="shared" si="25"/>
        <v>2182359.8516949196</v>
      </c>
      <c r="H327" s="726">
        <f>+J269*G327+E327</f>
        <v>584668.12665610306</v>
      </c>
      <c r="I327" s="733">
        <f>+J270*G327+E327</f>
        <v>584668.12665610306</v>
      </c>
      <c r="J327" s="729">
        <f t="shared" si="26"/>
        <v>0</v>
      </c>
      <c r="K327" s="729"/>
      <c r="L327" s="734"/>
      <c r="M327" s="729">
        <f t="shared" si="27"/>
        <v>0</v>
      </c>
      <c r="N327" s="734"/>
      <c r="O327" s="729">
        <f t="shared" si="28"/>
        <v>0</v>
      </c>
      <c r="P327" s="729">
        <f t="shared" si="29"/>
        <v>0</v>
      </c>
      <c r="Q327" s="677"/>
    </row>
    <row r="328" spans="2:17">
      <c r="B328" s="334"/>
      <c r="C328" s="725">
        <f>IF(D268="","-",+C327+1)</f>
        <v>2068</v>
      </c>
      <c r="D328" s="676">
        <f t="shared" si="30"/>
        <v>2007771.0635593263</v>
      </c>
      <c r="E328" s="732">
        <f t="shared" si="31"/>
        <v>349177.57627118647</v>
      </c>
      <c r="F328" s="732">
        <f t="shared" si="24"/>
        <v>1658593.4872881398</v>
      </c>
      <c r="G328" s="676">
        <f t="shared" si="25"/>
        <v>1833182.2754237331</v>
      </c>
      <c r="H328" s="726">
        <f>+J269*G328+E328</f>
        <v>546989.63859451644</v>
      </c>
      <c r="I328" s="733">
        <f>+J270*G328+E328</f>
        <v>546989.63859451644</v>
      </c>
      <c r="J328" s="729">
        <f t="shared" si="26"/>
        <v>0</v>
      </c>
      <c r="K328" s="729"/>
      <c r="L328" s="734"/>
      <c r="M328" s="729">
        <f t="shared" si="27"/>
        <v>0</v>
      </c>
      <c r="N328" s="734"/>
      <c r="O328" s="729">
        <f t="shared" si="28"/>
        <v>0</v>
      </c>
      <c r="P328" s="729">
        <f t="shared" si="29"/>
        <v>0</v>
      </c>
      <c r="Q328" s="677"/>
    </row>
    <row r="329" spans="2:17">
      <c r="B329" s="334"/>
      <c r="C329" s="725">
        <f>IF(D268="","-",+C328+1)</f>
        <v>2069</v>
      </c>
      <c r="D329" s="676">
        <f t="shared" si="30"/>
        <v>1658593.4872881398</v>
      </c>
      <c r="E329" s="732">
        <f t="shared" si="31"/>
        <v>349177.57627118647</v>
      </c>
      <c r="F329" s="732">
        <f t="shared" si="24"/>
        <v>1309415.9110169532</v>
      </c>
      <c r="G329" s="676">
        <f t="shared" si="25"/>
        <v>1484004.6991525465</v>
      </c>
      <c r="H329" s="726">
        <f>+J269*G329+E329</f>
        <v>509311.15053292987</v>
      </c>
      <c r="I329" s="733">
        <f>+J270*G329+E329</f>
        <v>509311.15053292987</v>
      </c>
      <c r="J329" s="729">
        <f t="shared" si="26"/>
        <v>0</v>
      </c>
      <c r="K329" s="729"/>
      <c r="L329" s="734"/>
      <c r="M329" s="729">
        <f t="shared" si="27"/>
        <v>0</v>
      </c>
      <c r="N329" s="734"/>
      <c r="O329" s="729">
        <f t="shared" si="28"/>
        <v>0</v>
      </c>
      <c r="P329" s="729">
        <f t="shared" si="29"/>
        <v>0</v>
      </c>
      <c r="Q329" s="677"/>
    </row>
    <row r="330" spans="2:17">
      <c r="B330" s="334"/>
      <c r="C330" s="725">
        <f>IF(D268="","-",+C329+1)</f>
        <v>2070</v>
      </c>
      <c r="D330" s="676">
        <f t="shared" si="30"/>
        <v>1309415.9110169532</v>
      </c>
      <c r="E330" s="732">
        <f t="shared" si="31"/>
        <v>349177.57627118647</v>
      </c>
      <c r="F330" s="732">
        <f t="shared" si="24"/>
        <v>960238.33474576671</v>
      </c>
      <c r="G330" s="676">
        <f t="shared" si="25"/>
        <v>1134827.1228813599</v>
      </c>
      <c r="H330" s="726">
        <f>+J269*G330+E330</f>
        <v>471632.6624713433</v>
      </c>
      <c r="I330" s="733">
        <f>+J270*G330+E330</f>
        <v>471632.6624713433</v>
      </c>
      <c r="J330" s="729">
        <f t="shared" si="26"/>
        <v>0</v>
      </c>
      <c r="K330" s="729"/>
      <c r="L330" s="734"/>
      <c r="M330" s="729">
        <f t="shared" si="27"/>
        <v>0</v>
      </c>
      <c r="N330" s="734"/>
      <c r="O330" s="729">
        <f t="shared" si="28"/>
        <v>0</v>
      </c>
      <c r="P330" s="729">
        <f t="shared" si="29"/>
        <v>0</v>
      </c>
      <c r="Q330" s="677"/>
    </row>
    <row r="331" spans="2:17">
      <c r="B331" s="334"/>
      <c r="C331" s="725">
        <f>IF(D268="","-",+C330+1)</f>
        <v>2071</v>
      </c>
      <c r="D331" s="676">
        <f t="shared" si="30"/>
        <v>960238.33474576671</v>
      </c>
      <c r="E331" s="732">
        <f t="shared" si="31"/>
        <v>349177.57627118647</v>
      </c>
      <c r="F331" s="732">
        <f t="shared" si="24"/>
        <v>611060.75847458025</v>
      </c>
      <c r="G331" s="676">
        <f t="shared" si="25"/>
        <v>785649.54661017354</v>
      </c>
      <c r="H331" s="726">
        <f>+J269*G331+E331</f>
        <v>433954.17440975667</v>
      </c>
      <c r="I331" s="733">
        <f>+J270*G331+E331</f>
        <v>433954.17440975667</v>
      </c>
      <c r="J331" s="729">
        <f t="shared" si="26"/>
        <v>0</v>
      </c>
      <c r="K331" s="729"/>
      <c r="L331" s="734"/>
      <c r="M331" s="729">
        <f t="shared" si="27"/>
        <v>0</v>
      </c>
      <c r="N331" s="734"/>
      <c r="O331" s="729">
        <f t="shared" si="28"/>
        <v>0</v>
      </c>
      <c r="P331" s="729">
        <f t="shared" si="29"/>
        <v>0</v>
      </c>
      <c r="Q331" s="677"/>
    </row>
    <row r="332" spans="2:17">
      <c r="B332" s="334"/>
      <c r="C332" s="725">
        <f>IF(D268="","-",+C331+1)</f>
        <v>2072</v>
      </c>
      <c r="D332" s="676">
        <f t="shared" si="30"/>
        <v>611060.75847458025</v>
      </c>
      <c r="E332" s="732">
        <f t="shared" si="31"/>
        <v>349177.57627118647</v>
      </c>
      <c r="F332" s="732">
        <f t="shared" si="24"/>
        <v>261883.18220339378</v>
      </c>
      <c r="G332" s="676">
        <f t="shared" si="25"/>
        <v>436471.97033898701</v>
      </c>
      <c r="H332" s="726">
        <f>+J269*G332+E332</f>
        <v>396275.6863481701</v>
      </c>
      <c r="I332" s="733">
        <f>+J270*G332+E332</f>
        <v>396275.6863481701</v>
      </c>
      <c r="J332" s="729">
        <f t="shared" si="26"/>
        <v>0</v>
      </c>
      <c r="K332" s="729"/>
      <c r="L332" s="734"/>
      <c r="M332" s="729">
        <f t="shared" si="27"/>
        <v>0</v>
      </c>
      <c r="N332" s="734"/>
      <c r="O332" s="729">
        <f t="shared" si="28"/>
        <v>0</v>
      </c>
      <c r="P332" s="729">
        <f t="shared" si="29"/>
        <v>0</v>
      </c>
      <c r="Q332" s="677"/>
    </row>
    <row r="333" spans="2:17" ht="13.5" thickBot="1">
      <c r="B333" s="334"/>
      <c r="C333" s="737">
        <f>IF(D268="","-",+C332+1)</f>
        <v>2073</v>
      </c>
      <c r="D333" s="738">
        <f t="shared" si="30"/>
        <v>261883.18220339378</v>
      </c>
      <c r="E333" s="739">
        <f t="shared" si="31"/>
        <v>261883.18220339378</v>
      </c>
      <c r="F333" s="739">
        <f t="shared" si="24"/>
        <v>0</v>
      </c>
      <c r="G333" s="738">
        <f t="shared" si="25"/>
        <v>130941.59110169689</v>
      </c>
      <c r="H333" s="740">
        <f>+J269*G333+E333</f>
        <v>276012.61522648897</v>
      </c>
      <c r="I333" s="740">
        <f>+J270*G333+E333</f>
        <v>276012.61522648897</v>
      </c>
      <c r="J333" s="741">
        <f t="shared" si="26"/>
        <v>0</v>
      </c>
      <c r="K333" s="729"/>
      <c r="L333" s="742"/>
      <c r="M333" s="741">
        <f t="shared" si="27"/>
        <v>0</v>
      </c>
      <c r="N333" s="742"/>
      <c r="O333" s="741">
        <f t="shared" si="28"/>
        <v>0</v>
      </c>
      <c r="P333" s="741">
        <f t="shared" si="29"/>
        <v>0</v>
      </c>
      <c r="Q333" s="677"/>
    </row>
    <row r="334" spans="2:17">
      <c r="B334" s="334"/>
      <c r="C334" s="676" t="s">
        <v>289</v>
      </c>
      <c r="D334" s="672"/>
      <c r="E334" s="672">
        <f>SUM(E274:E333)</f>
        <v>20601477</v>
      </c>
      <c r="F334" s="672"/>
      <c r="G334" s="672"/>
      <c r="H334" s="672">
        <f>SUM(H274:H333)</f>
        <v>87848158.567916647</v>
      </c>
      <c r="I334" s="672">
        <f>SUM(I274:I333)</f>
        <v>87848158.567916647</v>
      </c>
      <c r="J334" s="672">
        <f>SUM(J274:J333)</f>
        <v>0</v>
      </c>
      <c r="K334" s="672"/>
      <c r="L334" s="672"/>
      <c r="M334" s="672"/>
      <c r="N334" s="672"/>
      <c r="O334" s="672"/>
      <c r="Q334" s="672"/>
    </row>
    <row r="335" spans="2:17">
      <c r="B335" s="334"/>
      <c r="D335" s="566"/>
      <c r="E335" s="543"/>
      <c r="F335" s="543"/>
      <c r="G335" s="543"/>
      <c r="H335" s="543"/>
      <c r="I335" s="649"/>
      <c r="J335" s="649"/>
      <c r="K335" s="672"/>
      <c r="L335" s="649"/>
      <c r="M335" s="649"/>
      <c r="N335" s="649"/>
      <c r="O335" s="649"/>
      <c r="Q335" s="672"/>
    </row>
    <row r="336" spans="2:17">
      <c r="B336" s="334"/>
      <c r="C336" s="543" t="s">
        <v>602</v>
      </c>
      <c r="D336" s="566"/>
      <c r="E336" s="543"/>
      <c r="F336" s="543"/>
      <c r="G336" s="543"/>
      <c r="H336" s="543"/>
      <c r="I336" s="649"/>
      <c r="J336" s="649"/>
      <c r="K336" s="672"/>
      <c r="L336" s="649"/>
      <c r="M336" s="649"/>
      <c r="N336" s="649"/>
      <c r="O336" s="649"/>
      <c r="Q336" s="672"/>
    </row>
    <row r="337" spans="1:17">
      <c r="B337" s="334"/>
      <c r="D337" s="566"/>
      <c r="E337" s="543"/>
      <c r="F337" s="543"/>
      <c r="G337" s="543"/>
      <c r="H337" s="543"/>
      <c r="I337" s="649"/>
      <c r="J337" s="649"/>
      <c r="K337" s="672"/>
      <c r="L337" s="649"/>
      <c r="M337" s="649"/>
      <c r="N337" s="649"/>
      <c r="O337" s="649"/>
      <c r="Q337" s="672"/>
    </row>
    <row r="338" spans="1:17">
      <c r="B338" s="334"/>
      <c r="C338" s="579" t="s">
        <v>603</v>
      </c>
      <c r="D338" s="676"/>
      <c r="E338" s="676"/>
      <c r="F338" s="676"/>
      <c r="G338" s="676"/>
      <c r="H338" s="672"/>
      <c r="I338" s="672"/>
      <c r="J338" s="677"/>
      <c r="K338" s="677"/>
      <c r="L338" s="677"/>
      <c r="M338" s="677"/>
      <c r="N338" s="677"/>
      <c r="O338" s="677"/>
      <c r="Q338" s="677"/>
    </row>
    <row r="339" spans="1:17">
      <c r="B339" s="334"/>
      <c r="C339" s="579" t="s">
        <v>477</v>
      </c>
      <c r="D339" s="676"/>
      <c r="E339" s="676"/>
      <c r="F339" s="676"/>
      <c r="G339" s="676"/>
      <c r="H339" s="672"/>
      <c r="I339" s="672"/>
      <c r="J339" s="677"/>
      <c r="K339" s="677"/>
      <c r="L339" s="677"/>
      <c r="M339" s="677"/>
      <c r="N339" s="677"/>
      <c r="O339" s="677"/>
      <c r="Q339" s="677"/>
    </row>
    <row r="340" spans="1:17">
      <c r="B340" s="334"/>
      <c r="C340" s="579" t="s">
        <v>290</v>
      </c>
      <c r="D340" s="676"/>
      <c r="E340" s="676"/>
      <c r="F340" s="676"/>
      <c r="G340" s="676"/>
      <c r="H340" s="672"/>
      <c r="I340" s="672"/>
      <c r="J340" s="677"/>
      <c r="K340" s="677"/>
      <c r="L340" s="677"/>
      <c r="M340" s="677"/>
      <c r="N340" s="677"/>
      <c r="O340" s="677"/>
      <c r="Q340" s="677"/>
    </row>
    <row r="341" spans="1:17" ht="20.25">
      <c r="A341" s="678" t="s">
        <v>780</v>
      </c>
      <c r="B341" s="543"/>
      <c r="C341" s="658"/>
      <c r="D341" s="566"/>
      <c r="E341" s="543"/>
      <c r="F341" s="648"/>
      <c r="G341" s="648"/>
      <c r="H341" s="543"/>
      <c r="I341" s="649"/>
      <c r="L341" s="679"/>
      <c r="M341" s="679"/>
      <c r="N341" s="679"/>
      <c r="O341" s="594" t="str">
        <f>"Page "&amp;SUM(Q$3:Q341)&amp;" of "</f>
        <v xml:space="preserve">Page 5 of </v>
      </c>
      <c r="P341" s="595">
        <f>COUNT(Q$8:Q$58123)</f>
        <v>15</v>
      </c>
      <c r="Q341" s="763">
        <v>1</v>
      </c>
    </row>
    <row r="342" spans="1:17">
      <c r="B342" s="543"/>
      <c r="C342" s="543"/>
      <c r="D342" s="566"/>
      <c r="E342" s="543"/>
      <c r="F342" s="543"/>
      <c r="G342" s="543"/>
      <c r="H342" s="543"/>
      <c r="I342" s="649"/>
      <c r="J342" s="543"/>
      <c r="K342" s="591"/>
      <c r="Q342" s="591"/>
    </row>
    <row r="343" spans="1:17" ht="18">
      <c r="B343" s="598" t="s">
        <v>175</v>
      </c>
      <c r="C343" s="680" t="s">
        <v>291</v>
      </c>
      <c r="D343" s="566"/>
      <c r="E343" s="543"/>
      <c r="F343" s="543"/>
      <c r="G343" s="543"/>
      <c r="H343" s="543"/>
      <c r="I343" s="649"/>
      <c r="J343" s="649"/>
      <c r="K343" s="672"/>
      <c r="L343" s="649"/>
      <c r="M343" s="649"/>
      <c r="N343" s="649"/>
      <c r="O343" s="649"/>
      <c r="Q343" s="672"/>
    </row>
    <row r="344" spans="1:17" ht="18.75">
      <c r="B344" s="598"/>
      <c r="C344" s="597"/>
      <c r="D344" s="566"/>
      <c r="E344" s="543"/>
      <c r="F344" s="543"/>
      <c r="G344" s="543"/>
      <c r="H344" s="543"/>
      <c r="I344" s="649"/>
      <c r="J344" s="649"/>
      <c r="K344" s="672"/>
      <c r="L344" s="649"/>
      <c r="M344" s="649"/>
      <c r="N344" s="649"/>
      <c r="O344" s="649"/>
      <c r="Q344" s="672"/>
    </row>
    <row r="345" spans="1:17" ht="18.75">
      <c r="B345" s="598"/>
      <c r="C345" s="597" t="s">
        <v>292</v>
      </c>
      <c r="D345" s="566"/>
      <c r="E345" s="543"/>
      <c r="F345" s="543"/>
      <c r="G345" s="543"/>
      <c r="H345" s="543"/>
      <c r="I345" s="649"/>
      <c r="J345" s="649"/>
      <c r="K345" s="672"/>
      <c r="L345" s="649"/>
      <c r="M345" s="649"/>
      <c r="N345" s="649"/>
      <c r="O345" s="649"/>
      <c r="Q345" s="672"/>
    </row>
    <row r="346" spans="1:17" ht="15.75" thickBot="1">
      <c r="B346" s="334"/>
      <c r="C346" s="400"/>
      <c r="D346" s="566"/>
      <c r="E346" s="543"/>
      <c r="F346" s="543"/>
      <c r="G346" s="543"/>
      <c r="H346" s="543"/>
      <c r="I346" s="649"/>
      <c r="J346" s="649"/>
      <c r="K346" s="672"/>
      <c r="L346" s="649"/>
      <c r="M346" s="649"/>
      <c r="N346" s="649"/>
      <c r="O346" s="649"/>
      <c r="Q346" s="672"/>
    </row>
    <row r="347" spans="1:17" ht="15.75">
      <c r="B347" s="334"/>
      <c r="C347" s="599" t="s">
        <v>293</v>
      </c>
      <c r="D347" s="566"/>
      <c r="E347" s="543"/>
      <c r="F347" s="543"/>
      <c r="G347" s="543"/>
      <c r="H347" s="874"/>
      <c r="I347" s="543" t="s">
        <v>272</v>
      </c>
      <c r="J347" s="543"/>
      <c r="K347" s="591"/>
      <c r="L347" s="764">
        <f>+J353</f>
        <v>2018</v>
      </c>
      <c r="M347" s="746" t="s">
        <v>255</v>
      </c>
      <c r="N347" s="746" t="s">
        <v>256</v>
      </c>
      <c r="O347" s="747" t="s">
        <v>257</v>
      </c>
      <c r="Q347" s="591"/>
    </row>
    <row r="348" spans="1:17" ht="15.75">
      <c r="B348" s="334"/>
      <c r="C348" s="599"/>
      <c r="D348" s="566"/>
      <c r="E348" s="543"/>
      <c r="F348" s="543"/>
      <c r="H348" s="543"/>
      <c r="I348" s="684"/>
      <c r="J348" s="684"/>
      <c r="K348" s="685"/>
      <c r="L348" s="765" t="s">
        <v>456</v>
      </c>
      <c r="M348" s="766">
        <f>VLOOKUP(J353,C360:P419,10)</f>
        <v>292574</v>
      </c>
      <c r="N348" s="766">
        <f>VLOOKUP(J353,C360:P419,12)</f>
        <v>292574</v>
      </c>
      <c r="O348" s="767">
        <f>+N348-M348</f>
        <v>0</v>
      </c>
      <c r="Q348" s="685"/>
    </row>
    <row r="349" spans="1:17">
      <c r="B349" s="334"/>
      <c r="C349" s="687" t="s">
        <v>294</v>
      </c>
      <c r="D349" s="1434" t="s">
        <v>998</v>
      </c>
      <c r="E349" s="1434"/>
      <c r="F349" s="1434"/>
      <c r="G349" s="1434"/>
      <c r="H349" s="885"/>
      <c r="I349" s="649"/>
      <c r="J349" s="649"/>
      <c r="K349" s="672"/>
      <c r="L349" s="765" t="s">
        <v>457</v>
      </c>
      <c r="M349" s="768">
        <f>VLOOKUP(J353,C360:P419,6)</f>
        <v>286648.75999416132</v>
      </c>
      <c r="N349" s="768">
        <f>VLOOKUP(J353,C360:P419,7)</f>
        <v>286648.75999416132</v>
      </c>
      <c r="O349" s="769">
        <f>+N349-M349</f>
        <v>0</v>
      </c>
      <c r="Q349" s="672"/>
    </row>
    <row r="350" spans="1:17" ht="13.5" thickBot="1">
      <c r="B350" s="334"/>
      <c r="C350" s="689"/>
      <c r="D350" s="690"/>
      <c r="E350" s="674"/>
      <c r="F350" s="674"/>
      <c r="G350" s="674"/>
      <c r="H350" s="691"/>
      <c r="I350" s="649"/>
      <c r="J350" s="649"/>
      <c r="K350" s="672"/>
      <c r="L350" s="710" t="s">
        <v>458</v>
      </c>
      <c r="M350" s="770">
        <f>+M349-M348</f>
        <v>-5925.2400058386847</v>
      </c>
      <c r="N350" s="770">
        <f>+N349-N348</f>
        <v>-5925.2400058386847</v>
      </c>
      <c r="O350" s="771">
        <f>+O349-O348</f>
        <v>0</v>
      </c>
      <c r="Q350" s="672"/>
    </row>
    <row r="351" spans="1:17" ht="13.5" thickBot="1">
      <c r="B351" s="334"/>
      <c r="C351" s="692"/>
      <c r="D351" s="693"/>
      <c r="E351" s="691"/>
      <c r="F351" s="691"/>
      <c r="G351" s="691"/>
      <c r="H351" s="691"/>
      <c r="I351" s="691"/>
      <c r="J351" s="691"/>
      <c r="K351" s="694"/>
      <c r="L351" s="691"/>
      <c r="M351" s="691"/>
      <c r="N351" s="691"/>
      <c r="O351" s="691"/>
      <c r="P351" s="579"/>
      <c r="Q351" s="694"/>
    </row>
    <row r="352" spans="1:17" ht="13.5" thickBot="1">
      <c r="B352" s="334"/>
      <c r="C352" s="696" t="s">
        <v>295</v>
      </c>
      <c r="D352" s="697"/>
      <c r="E352" s="697"/>
      <c r="F352" s="697"/>
      <c r="G352" s="697"/>
      <c r="H352" s="697"/>
      <c r="I352" s="697"/>
      <c r="J352" s="697"/>
      <c r="K352" s="699"/>
      <c r="P352" s="700"/>
      <c r="Q352" s="699"/>
    </row>
    <row r="353" spans="1:17" ht="15">
      <c r="A353" s="695"/>
      <c r="B353" s="334"/>
      <c r="C353" s="702" t="s">
        <v>273</v>
      </c>
      <c r="D353" s="1268">
        <v>2419910</v>
      </c>
      <c r="E353" s="658" t="s">
        <v>274</v>
      </c>
      <c r="H353" s="703"/>
      <c r="I353" s="703"/>
      <c r="J353" s="704">
        <v>2018</v>
      </c>
      <c r="K353" s="589"/>
      <c r="L353" s="1445" t="s">
        <v>275</v>
      </c>
      <c r="M353" s="1445"/>
      <c r="N353" s="1445"/>
      <c r="O353" s="1445"/>
      <c r="P353" s="591"/>
      <c r="Q353" s="589"/>
    </row>
    <row r="354" spans="1:17">
      <c r="A354" s="695"/>
      <c r="B354" s="334"/>
      <c r="C354" s="702" t="s">
        <v>276</v>
      </c>
      <c r="D354" s="876">
        <v>2014</v>
      </c>
      <c r="E354" s="702" t="s">
        <v>277</v>
      </c>
      <c r="F354" s="703"/>
      <c r="G354" s="703"/>
      <c r="I354" s="334"/>
      <c r="J354" s="879">
        <v>0</v>
      </c>
      <c r="K354" s="705"/>
      <c r="L354" s="672" t="s">
        <v>476</v>
      </c>
      <c r="P354" s="591"/>
      <c r="Q354" s="705"/>
    </row>
    <row r="355" spans="1:17">
      <c r="A355" s="695"/>
      <c r="B355" s="334"/>
      <c r="C355" s="702" t="s">
        <v>278</v>
      </c>
      <c r="D355" s="1269">
        <v>12</v>
      </c>
      <c r="E355" s="702" t="s">
        <v>279</v>
      </c>
      <c r="F355" s="703"/>
      <c r="G355" s="703"/>
      <c r="I355" s="334"/>
      <c r="J355" s="706">
        <f>$F$70</f>
        <v>0.10790637951024619</v>
      </c>
      <c r="K355" s="707"/>
      <c r="L355" s="543" t="str">
        <f>"          INPUT TRUE-UP ARR (WITH &amp; WITHOUT INCENTIVES) FROM EACH PRIOR YEAR"</f>
        <v xml:space="preserve">          INPUT TRUE-UP ARR (WITH &amp; WITHOUT INCENTIVES) FROM EACH PRIOR YEAR</v>
      </c>
      <c r="P355" s="591"/>
      <c r="Q355" s="707"/>
    </row>
    <row r="356" spans="1:17">
      <c r="A356" s="695"/>
      <c r="B356" s="334"/>
      <c r="C356" s="702" t="s">
        <v>280</v>
      </c>
      <c r="D356" s="708">
        <f>H79</f>
        <v>59</v>
      </c>
      <c r="E356" s="702" t="s">
        <v>281</v>
      </c>
      <c r="F356" s="703"/>
      <c r="G356" s="703"/>
      <c r="I356" s="334"/>
      <c r="J356" s="706">
        <f>IF(H347="",J355,$F$69)</f>
        <v>0.10790637951024619</v>
      </c>
      <c r="K356" s="709"/>
      <c r="L356" s="543" t="s">
        <v>363</v>
      </c>
      <c r="M356" s="709"/>
      <c r="N356" s="709"/>
      <c r="O356" s="709"/>
      <c r="P356" s="591"/>
      <c r="Q356" s="709"/>
    </row>
    <row r="357" spans="1:17" ht="13.5" thickBot="1">
      <c r="A357" s="695"/>
      <c r="B357" s="334"/>
      <c r="C357" s="702" t="s">
        <v>282</v>
      </c>
      <c r="D357" s="878" t="s">
        <v>995</v>
      </c>
      <c r="E357" s="710" t="s">
        <v>283</v>
      </c>
      <c r="F357" s="711"/>
      <c r="G357" s="711"/>
      <c r="H357" s="712"/>
      <c r="I357" s="712"/>
      <c r="J357" s="688">
        <f>IF(D353=0,0,D353/D356)</f>
        <v>41015.423728813563</v>
      </c>
      <c r="K357" s="672"/>
      <c r="L357" s="672" t="s">
        <v>364</v>
      </c>
      <c r="M357" s="672"/>
      <c r="N357" s="672"/>
      <c r="O357" s="672"/>
      <c r="P357" s="591"/>
      <c r="Q357" s="672"/>
    </row>
    <row r="358" spans="1:17" ht="38.25">
      <c r="A358" s="530"/>
      <c r="B358" s="530"/>
      <c r="C358" s="713" t="s">
        <v>273</v>
      </c>
      <c r="D358" s="714" t="s">
        <v>284</v>
      </c>
      <c r="E358" s="715" t="s">
        <v>285</v>
      </c>
      <c r="F358" s="714" t="s">
        <v>286</v>
      </c>
      <c r="G358" s="714" t="s">
        <v>459</v>
      </c>
      <c r="H358" s="715" t="s">
        <v>357</v>
      </c>
      <c r="I358" s="716" t="s">
        <v>357</v>
      </c>
      <c r="J358" s="713" t="s">
        <v>296</v>
      </c>
      <c r="K358" s="717"/>
      <c r="L358" s="715" t="s">
        <v>359</v>
      </c>
      <c r="M358" s="715" t="s">
        <v>365</v>
      </c>
      <c r="N358" s="715" t="s">
        <v>359</v>
      </c>
      <c r="O358" s="715" t="s">
        <v>367</v>
      </c>
      <c r="P358" s="715" t="s">
        <v>287</v>
      </c>
      <c r="Q358" s="718"/>
    </row>
    <row r="359" spans="1:17" ht="13.5" thickBot="1">
      <c r="B359" s="334"/>
      <c r="C359" s="719" t="s">
        <v>178</v>
      </c>
      <c r="D359" s="720" t="s">
        <v>179</v>
      </c>
      <c r="E359" s="719" t="s">
        <v>37</v>
      </c>
      <c r="F359" s="720" t="s">
        <v>179</v>
      </c>
      <c r="G359" s="720" t="s">
        <v>179</v>
      </c>
      <c r="H359" s="721" t="s">
        <v>299</v>
      </c>
      <c r="I359" s="722" t="s">
        <v>301</v>
      </c>
      <c r="J359" s="723" t="s">
        <v>390</v>
      </c>
      <c r="K359" s="724"/>
      <c r="L359" s="721" t="s">
        <v>288</v>
      </c>
      <c r="M359" s="721" t="s">
        <v>288</v>
      </c>
      <c r="N359" s="721" t="s">
        <v>468</v>
      </c>
      <c r="O359" s="721" t="s">
        <v>468</v>
      </c>
      <c r="P359" s="721" t="s">
        <v>468</v>
      </c>
      <c r="Q359" s="589"/>
    </row>
    <row r="360" spans="1:17">
      <c r="B360" s="334"/>
      <c r="C360" s="725">
        <f>IF(D354= "","-",D354)</f>
        <v>2014</v>
      </c>
      <c r="D360" s="676">
        <f>+D353</f>
        <v>2419910</v>
      </c>
      <c r="E360" s="726">
        <f>+J357/12*(12-D355)</f>
        <v>0</v>
      </c>
      <c r="F360" s="772">
        <f t="shared" ref="F360:F419" si="32">+D360-E360</f>
        <v>2419910</v>
      </c>
      <c r="G360" s="676">
        <f t="shared" ref="G360:G419" si="33">+(D360+F360)/2</f>
        <v>2419910</v>
      </c>
      <c r="H360" s="727">
        <f>+J355*G360+E360</f>
        <v>261123.72684063987</v>
      </c>
      <c r="I360" s="728">
        <f>+J356*G360+E360</f>
        <v>261123.72684063987</v>
      </c>
      <c r="J360" s="729">
        <f t="shared" ref="J360:J419" si="34">+I360-H360</f>
        <v>0</v>
      </c>
      <c r="K360" s="729"/>
      <c r="L360" s="730">
        <v>222712</v>
      </c>
      <c r="M360" s="773">
        <f t="shared" ref="M360:M419" si="35">IF(L360&lt;&gt;0,+H360-L360,0)</f>
        <v>38411.726840639865</v>
      </c>
      <c r="N360" s="730">
        <v>222712</v>
      </c>
      <c r="O360" s="773">
        <f t="shared" ref="O360:O419" si="36">IF(N360&lt;&gt;0,+I360-N360,0)</f>
        <v>38411.726840639865</v>
      </c>
      <c r="P360" s="773">
        <f t="shared" ref="P360:P419" si="37">+O360-M360</f>
        <v>0</v>
      </c>
      <c r="Q360" s="677"/>
    </row>
    <row r="361" spans="1:17">
      <c r="B361" s="334"/>
      <c r="C361" s="725">
        <f>IF(D354="","-",+C360+1)</f>
        <v>2015</v>
      </c>
      <c r="D361" s="676">
        <f t="shared" ref="D361:D419" si="38">F360</f>
        <v>2419910</v>
      </c>
      <c r="E361" s="732">
        <f>IF(D361&gt;$J$357,$J$357,D361)</f>
        <v>41015.423728813563</v>
      </c>
      <c r="F361" s="732">
        <f t="shared" si="32"/>
        <v>2378894.5762711866</v>
      </c>
      <c r="G361" s="676">
        <f t="shared" si="33"/>
        <v>2399402.2881355933</v>
      </c>
      <c r="H361" s="726">
        <f>+J355*G361+E361</f>
        <v>299926.23763012595</v>
      </c>
      <c r="I361" s="733">
        <f>+J356*G361+E361</f>
        <v>299926.23763012595</v>
      </c>
      <c r="J361" s="729">
        <f t="shared" si="34"/>
        <v>0</v>
      </c>
      <c r="K361" s="729"/>
      <c r="L361" s="734">
        <v>317491</v>
      </c>
      <c r="M361" s="729">
        <f t="shared" si="35"/>
        <v>-17564.76236987405</v>
      </c>
      <c r="N361" s="734">
        <v>317491</v>
      </c>
      <c r="O361" s="729">
        <f t="shared" si="36"/>
        <v>-17564.76236987405</v>
      </c>
      <c r="P361" s="729">
        <f t="shared" si="37"/>
        <v>0</v>
      </c>
      <c r="Q361" s="677"/>
    </row>
    <row r="362" spans="1:17">
      <c r="B362" s="334"/>
      <c r="C362" s="725">
        <f>IF(D354="","-",+C361+1)</f>
        <v>2016</v>
      </c>
      <c r="D362" s="676">
        <f t="shared" si="38"/>
        <v>2378894.5762711866</v>
      </c>
      <c r="E362" s="732">
        <f t="shared" ref="E362:E419" si="39">IF(D362&gt;$J$357,$J$357,D362)</f>
        <v>41015.423728813563</v>
      </c>
      <c r="F362" s="732">
        <f t="shared" si="32"/>
        <v>2337879.1525423732</v>
      </c>
      <c r="G362" s="676">
        <f t="shared" si="33"/>
        <v>2358386.8644067799</v>
      </c>
      <c r="H362" s="726">
        <f>+J355*G362+E362</f>
        <v>295500.41175147111</v>
      </c>
      <c r="I362" s="733">
        <f>+J356*G362+E362</f>
        <v>295500.41175147111</v>
      </c>
      <c r="J362" s="729">
        <f t="shared" si="34"/>
        <v>0</v>
      </c>
      <c r="K362" s="729"/>
      <c r="L362" s="734">
        <v>303455</v>
      </c>
      <c r="M362" s="729">
        <f t="shared" si="35"/>
        <v>-7954.5882485288894</v>
      </c>
      <c r="N362" s="734">
        <v>303455</v>
      </c>
      <c r="O362" s="729">
        <f t="shared" si="36"/>
        <v>-7954.5882485288894</v>
      </c>
      <c r="P362" s="729">
        <f t="shared" si="37"/>
        <v>0</v>
      </c>
      <c r="Q362" s="677"/>
    </row>
    <row r="363" spans="1:17">
      <c r="B363" s="334"/>
      <c r="C363" s="725">
        <f>IF(D354="","-",+C362+1)</f>
        <v>2017</v>
      </c>
      <c r="D363" s="676">
        <f t="shared" si="38"/>
        <v>2337879.1525423732</v>
      </c>
      <c r="E363" s="732">
        <f t="shared" si="39"/>
        <v>41015.423728813563</v>
      </c>
      <c r="F363" s="732">
        <f t="shared" si="32"/>
        <v>2296863.7288135597</v>
      </c>
      <c r="G363" s="676">
        <f t="shared" si="33"/>
        <v>2317371.4406779665</v>
      </c>
      <c r="H363" s="726">
        <f>+J355*G363+E363</f>
        <v>291074.58587281615</v>
      </c>
      <c r="I363" s="733">
        <f>+J356*G363+E363</f>
        <v>291074.58587281615</v>
      </c>
      <c r="J363" s="729">
        <f t="shared" si="34"/>
        <v>0</v>
      </c>
      <c r="K363" s="729"/>
      <c r="L363" s="734">
        <v>308414</v>
      </c>
      <c r="M363" s="729">
        <f t="shared" si="35"/>
        <v>-17339.414127183845</v>
      </c>
      <c r="N363" s="734">
        <v>308414</v>
      </c>
      <c r="O363" s="729">
        <f t="shared" si="36"/>
        <v>-17339.414127183845</v>
      </c>
      <c r="P363" s="729">
        <f t="shared" si="37"/>
        <v>0</v>
      </c>
      <c r="Q363" s="677"/>
    </row>
    <row r="364" spans="1:17">
      <c r="B364" s="334"/>
      <c r="C364" s="725">
        <f>IF(D354="","-",+C363+1)</f>
        <v>2018</v>
      </c>
      <c r="D364" s="1311">
        <f t="shared" si="38"/>
        <v>2296863.7288135597</v>
      </c>
      <c r="E364" s="732">
        <f t="shared" si="39"/>
        <v>41015.423728813563</v>
      </c>
      <c r="F364" s="732">
        <f t="shared" si="32"/>
        <v>2255848.3050847463</v>
      </c>
      <c r="G364" s="676">
        <f t="shared" si="33"/>
        <v>2276356.016949153</v>
      </c>
      <c r="H364" s="726">
        <f>+J355*G364+E364</f>
        <v>286648.75999416132</v>
      </c>
      <c r="I364" s="733">
        <f>+J356*G364+E364</f>
        <v>286648.75999416132</v>
      </c>
      <c r="J364" s="729">
        <f t="shared" si="34"/>
        <v>0</v>
      </c>
      <c r="K364" s="729"/>
      <c r="L364" s="734">
        <v>292574</v>
      </c>
      <c r="M364" s="729">
        <f t="shared" si="35"/>
        <v>-5925.2400058386847</v>
      </c>
      <c r="N364" s="734">
        <v>292574</v>
      </c>
      <c r="O364" s="729">
        <f t="shared" si="36"/>
        <v>-5925.2400058386847</v>
      </c>
      <c r="P364" s="729">
        <f t="shared" si="37"/>
        <v>0</v>
      </c>
      <c r="Q364" s="677"/>
    </row>
    <row r="365" spans="1:17">
      <c r="B365" s="334"/>
      <c r="C365" s="725">
        <f>IF(D354="","-",+C364+1)</f>
        <v>2019</v>
      </c>
      <c r="D365" s="676">
        <f t="shared" si="38"/>
        <v>2255848.3050847463</v>
      </c>
      <c r="E365" s="732">
        <f t="shared" si="39"/>
        <v>41015.423728813563</v>
      </c>
      <c r="F365" s="732">
        <f t="shared" si="32"/>
        <v>2214832.8813559329</v>
      </c>
      <c r="G365" s="676">
        <f t="shared" si="33"/>
        <v>2235340.5932203396</v>
      </c>
      <c r="H365" s="726">
        <f>+J355*G365+E365</f>
        <v>282222.93411550636</v>
      </c>
      <c r="I365" s="733">
        <f>+J356*G365+E365</f>
        <v>282222.93411550636</v>
      </c>
      <c r="J365" s="729">
        <f t="shared" si="34"/>
        <v>0</v>
      </c>
      <c r="K365" s="729"/>
      <c r="L365" s="734">
        <v>0</v>
      </c>
      <c r="M365" s="729">
        <f t="shared" si="35"/>
        <v>0</v>
      </c>
      <c r="N365" s="734">
        <v>0</v>
      </c>
      <c r="O365" s="729">
        <f t="shared" si="36"/>
        <v>0</v>
      </c>
      <c r="P365" s="729">
        <f t="shared" si="37"/>
        <v>0</v>
      </c>
      <c r="Q365" s="677"/>
    </row>
    <row r="366" spans="1:17">
      <c r="B366" s="334"/>
      <c r="C366" s="725">
        <f>IF(D354="","-",+C365+1)</f>
        <v>2020</v>
      </c>
      <c r="D366" s="676">
        <f t="shared" si="38"/>
        <v>2214832.8813559329</v>
      </c>
      <c r="E366" s="732">
        <f t="shared" si="39"/>
        <v>41015.423728813563</v>
      </c>
      <c r="F366" s="732">
        <f t="shared" si="32"/>
        <v>2173817.4576271195</v>
      </c>
      <c r="G366" s="676">
        <f t="shared" si="33"/>
        <v>2194325.1694915262</v>
      </c>
      <c r="H366" s="726">
        <f>+J355*G366+E366</f>
        <v>277797.10823685152</v>
      </c>
      <c r="I366" s="733">
        <f>+J356*G366+E366</f>
        <v>277797.10823685152</v>
      </c>
      <c r="J366" s="729">
        <f t="shared" si="34"/>
        <v>0</v>
      </c>
      <c r="K366" s="729"/>
      <c r="L366" s="734">
        <v>0</v>
      </c>
      <c r="M366" s="729">
        <f t="shared" si="35"/>
        <v>0</v>
      </c>
      <c r="N366" s="734">
        <v>0</v>
      </c>
      <c r="O366" s="729">
        <f t="shared" si="36"/>
        <v>0</v>
      </c>
      <c r="P366" s="729">
        <f t="shared" si="37"/>
        <v>0</v>
      </c>
      <c r="Q366" s="677"/>
    </row>
    <row r="367" spans="1:17">
      <c r="B367" s="334"/>
      <c r="C367" s="725">
        <f>IF(D354="","-",+C366+1)</f>
        <v>2021</v>
      </c>
      <c r="D367" s="676">
        <f t="shared" si="38"/>
        <v>2173817.4576271195</v>
      </c>
      <c r="E367" s="732">
        <f t="shared" si="39"/>
        <v>41015.423728813563</v>
      </c>
      <c r="F367" s="732">
        <f t="shared" si="32"/>
        <v>2132802.0338983061</v>
      </c>
      <c r="G367" s="676">
        <f t="shared" si="33"/>
        <v>2153309.7457627128</v>
      </c>
      <c r="H367" s="726">
        <f>+J355*G367+E367</f>
        <v>273371.28235819656</v>
      </c>
      <c r="I367" s="733">
        <f>+J356*G367+E367</f>
        <v>273371.28235819656</v>
      </c>
      <c r="J367" s="729">
        <f t="shared" si="34"/>
        <v>0</v>
      </c>
      <c r="K367" s="729"/>
      <c r="L367" s="734">
        <v>0</v>
      </c>
      <c r="M367" s="729">
        <f t="shared" si="35"/>
        <v>0</v>
      </c>
      <c r="N367" s="734">
        <v>0</v>
      </c>
      <c r="O367" s="729">
        <f t="shared" si="36"/>
        <v>0</v>
      </c>
      <c r="P367" s="729">
        <f t="shared" si="37"/>
        <v>0</v>
      </c>
      <c r="Q367" s="677"/>
    </row>
    <row r="368" spans="1:17">
      <c r="B368" s="334"/>
      <c r="C368" s="725">
        <f>IF(D354="","-",+C367+1)</f>
        <v>2022</v>
      </c>
      <c r="D368" s="676">
        <f t="shared" si="38"/>
        <v>2132802.0338983061</v>
      </c>
      <c r="E368" s="732">
        <f t="shared" si="39"/>
        <v>41015.423728813563</v>
      </c>
      <c r="F368" s="732">
        <f t="shared" si="32"/>
        <v>2091786.6101694924</v>
      </c>
      <c r="G368" s="676">
        <f t="shared" si="33"/>
        <v>2112294.3220338994</v>
      </c>
      <c r="H368" s="726">
        <f>+J355*G368+E368</f>
        <v>268945.45647954172</v>
      </c>
      <c r="I368" s="733">
        <f>+J356*G368+E368</f>
        <v>268945.45647954172</v>
      </c>
      <c r="J368" s="729">
        <f t="shared" si="34"/>
        <v>0</v>
      </c>
      <c r="K368" s="729"/>
      <c r="L368" s="734">
        <v>0</v>
      </c>
      <c r="M368" s="729">
        <f t="shared" si="35"/>
        <v>0</v>
      </c>
      <c r="N368" s="734">
        <v>0</v>
      </c>
      <c r="O368" s="729">
        <f t="shared" si="36"/>
        <v>0</v>
      </c>
      <c r="P368" s="729">
        <f t="shared" si="37"/>
        <v>0</v>
      </c>
      <c r="Q368" s="677"/>
    </row>
    <row r="369" spans="2:17">
      <c r="B369" s="334"/>
      <c r="C369" s="725">
        <f>IF(D354="","-",+C368+1)</f>
        <v>2023</v>
      </c>
      <c r="D369" s="676">
        <f t="shared" si="38"/>
        <v>2091786.6101694924</v>
      </c>
      <c r="E369" s="732">
        <f t="shared" si="39"/>
        <v>41015.423728813563</v>
      </c>
      <c r="F369" s="732">
        <f t="shared" si="32"/>
        <v>2050771.1864406788</v>
      </c>
      <c r="G369" s="676">
        <f t="shared" si="33"/>
        <v>2071278.8983050855</v>
      </c>
      <c r="H369" s="726">
        <f>+J355*G369+E369</f>
        <v>264519.63060088677</v>
      </c>
      <c r="I369" s="733">
        <f>+J356*G369+E369</f>
        <v>264519.63060088677</v>
      </c>
      <c r="J369" s="729">
        <f t="shared" si="34"/>
        <v>0</v>
      </c>
      <c r="K369" s="729"/>
      <c r="L369" s="734">
        <v>0</v>
      </c>
      <c r="M369" s="729">
        <f t="shared" si="35"/>
        <v>0</v>
      </c>
      <c r="N369" s="734">
        <v>0</v>
      </c>
      <c r="O369" s="729">
        <f t="shared" si="36"/>
        <v>0</v>
      </c>
      <c r="P369" s="729">
        <f t="shared" si="37"/>
        <v>0</v>
      </c>
      <c r="Q369" s="677"/>
    </row>
    <row r="370" spans="2:17">
      <c r="B370" s="334"/>
      <c r="C370" s="725">
        <f>IF(D354="","-",+C369+1)</f>
        <v>2024</v>
      </c>
      <c r="D370" s="676">
        <f t="shared" si="38"/>
        <v>2050771.1864406788</v>
      </c>
      <c r="E370" s="732">
        <f t="shared" si="39"/>
        <v>41015.423728813563</v>
      </c>
      <c r="F370" s="732">
        <f t="shared" si="32"/>
        <v>2009755.7627118651</v>
      </c>
      <c r="G370" s="676">
        <f t="shared" si="33"/>
        <v>2030263.4745762721</v>
      </c>
      <c r="H370" s="726">
        <f>+J355*G370+E370</f>
        <v>260093.80472223184</v>
      </c>
      <c r="I370" s="733">
        <f>+J356*G370+E370</f>
        <v>260093.80472223184</v>
      </c>
      <c r="J370" s="729">
        <f t="shared" si="34"/>
        <v>0</v>
      </c>
      <c r="K370" s="729"/>
      <c r="L370" s="734">
        <v>0</v>
      </c>
      <c r="M370" s="729">
        <f t="shared" si="35"/>
        <v>0</v>
      </c>
      <c r="N370" s="734">
        <v>0</v>
      </c>
      <c r="O370" s="729">
        <f t="shared" si="36"/>
        <v>0</v>
      </c>
      <c r="P370" s="729">
        <f t="shared" si="37"/>
        <v>0</v>
      </c>
      <c r="Q370" s="677"/>
    </row>
    <row r="371" spans="2:17">
      <c r="B371" s="334"/>
      <c r="C371" s="725">
        <f>IF(D354="","-",+C370+1)</f>
        <v>2025</v>
      </c>
      <c r="D371" s="676">
        <f t="shared" si="38"/>
        <v>2009755.7627118651</v>
      </c>
      <c r="E371" s="732">
        <f t="shared" si="39"/>
        <v>41015.423728813563</v>
      </c>
      <c r="F371" s="732">
        <f t="shared" si="32"/>
        <v>1968740.3389830515</v>
      </c>
      <c r="G371" s="676">
        <f t="shared" si="33"/>
        <v>1989248.0508474582</v>
      </c>
      <c r="H371" s="726">
        <f>+J355*G371+E371</f>
        <v>255667.97884357689</v>
      </c>
      <c r="I371" s="733">
        <f>+J356*G371+E371</f>
        <v>255667.97884357689</v>
      </c>
      <c r="J371" s="729">
        <f t="shared" si="34"/>
        <v>0</v>
      </c>
      <c r="K371" s="729"/>
      <c r="L371" s="734"/>
      <c r="M371" s="729">
        <f t="shared" si="35"/>
        <v>0</v>
      </c>
      <c r="N371" s="734"/>
      <c r="O371" s="729">
        <f t="shared" si="36"/>
        <v>0</v>
      </c>
      <c r="P371" s="729">
        <f t="shared" si="37"/>
        <v>0</v>
      </c>
      <c r="Q371" s="677"/>
    </row>
    <row r="372" spans="2:17">
      <c r="B372" s="334"/>
      <c r="C372" s="725">
        <f>IF(D354="","-",+C371+1)</f>
        <v>2026</v>
      </c>
      <c r="D372" s="676">
        <f t="shared" si="38"/>
        <v>1968740.3389830515</v>
      </c>
      <c r="E372" s="732">
        <f t="shared" si="39"/>
        <v>41015.423728813563</v>
      </c>
      <c r="F372" s="732">
        <f t="shared" si="32"/>
        <v>1927724.9152542378</v>
      </c>
      <c r="G372" s="676">
        <f t="shared" si="33"/>
        <v>1948232.6271186448</v>
      </c>
      <c r="H372" s="726">
        <f>+J355*G372+E372</f>
        <v>251242.15296492199</v>
      </c>
      <c r="I372" s="733">
        <f>+J356*G372+E372</f>
        <v>251242.15296492199</v>
      </c>
      <c r="J372" s="729">
        <f t="shared" si="34"/>
        <v>0</v>
      </c>
      <c r="K372" s="729"/>
      <c r="L372" s="734"/>
      <c r="M372" s="729">
        <f t="shared" si="35"/>
        <v>0</v>
      </c>
      <c r="N372" s="734"/>
      <c r="O372" s="729">
        <f t="shared" si="36"/>
        <v>0</v>
      </c>
      <c r="P372" s="729">
        <f t="shared" si="37"/>
        <v>0</v>
      </c>
      <c r="Q372" s="677"/>
    </row>
    <row r="373" spans="2:17">
      <c r="B373" s="334"/>
      <c r="C373" s="725">
        <f>IF(D354="","-",+C372+1)</f>
        <v>2027</v>
      </c>
      <c r="D373" s="676">
        <f t="shared" si="38"/>
        <v>1927724.9152542378</v>
      </c>
      <c r="E373" s="732">
        <f t="shared" si="39"/>
        <v>41015.423728813563</v>
      </c>
      <c r="F373" s="732">
        <f t="shared" si="32"/>
        <v>1886709.4915254242</v>
      </c>
      <c r="G373" s="676">
        <f t="shared" si="33"/>
        <v>1907217.2033898309</v>
      </c>
      <c r="H373" s="726">
        <f>+J355*G373+E373</f>
        <v>246816.32708626706</v>
      </c>
      <c r="I373" s="733">
        <f>+J356*G373+E373</f>
        <v>246816.32708626706</v>
      </c>
      <c r="J373" s="729">
        <f t="shared" si="34"/>
        <v>0</v>
      </c>
      <c r="K373" s="729"/>
      <c r="L373" s="734"/>
      <c r="M373" s="729">
        <f t="shared" si="35"/>
        <v>0</v>
      </c>
      <c r="N373" s="734"/>
      <c r="O373" s="729">
        <f t="shared" si="36"/>
        <v>0</v>
      </c>
      <c r="P373" s="729">
        <f t="shared" si="37"/>
        <v>0</v>
      </c>
      <c r="Q373" s="677"/>
    </row>
    <row r="374" spans="2:17">
      <c r="B374" s="334"/>
      <c r="C374" s="725">
        <f>IF(D354="","-",+C373+1)</f>
        <v>2028</v>
      </c>
      <c r="D374" s="676">
        <f t="shared" si="38"/>
        <v>1886709.4915254242</v>
      </c>
      <c r="E374" s="732">
        <f t="shared" si="39"/>
        <v>41015.423728813563</v>
      </c>
      <c r="F374" s="732">
        <f t="shared" si="32"/>
        <v>1845694.0677966105</v>
      </c>
      <c r="G374" s="676">
        <f t="shared" si="33"/>
        <v>1866201.7796610175</v>
      </c>
      <c r="H374" s="726">
        <f>+J355*G374+E374</f>
        <v>242390.50120761216</v>
      </c>
      <c r="I374" s="733">
        <f>+J356*G374+E374</f>
        <v>242390.50120761216</v>
      </c>
      <c r="J374" s="729">
        <f t="shared" si="34"/>
        <v>0</v>
      </c>
      <c r="K374" s="729"/>
      <c r="L374" s="734"/>
      <c r="M374" s="729">
        <f t="shared" si="35"/>
        <v>0</v>
      </c>
      <c r="N374" s="734"/>
      <c r="O374" s="729">
        <f t="shared" si="36"/>
        <v>0</v>
      </c>
      <c r="P374" s="729">
        <f t="shared" si="37"/>
        <v>0</v>
      </c>
      <c r="Q374" s="677"/>
    </row>
    <row r="375" spans="2:17">
      <c r="B375" s="334"/>
      <c r="C375" s="725">
        <f>IF(D354="","-",+C374+1)</f>
        <v>2029</v>
      </c>
      <c r="D375" s="676">
        <f t="shared" si="38"/>
        <v>1845694.0677966105</v>
      </c>
      <c r="E375" s="732">
        <f t="shared" si="39"/>
        <v>41015.423728813563</v>
      </c>
      <c r="F375" s="732">
        <f t="shared" si="32"/>
        <v>1804678.6440677969</v>
      </c>
      <c r="G375" s="676">
        <f t="shared" si="33"/>
        <v>1825186.3559322036</v>
      </c>
      <c r="H375" s="726">
        <f>+J355*G375+E375</f>
        <v>237964.67532895721</v>
      </c>
      <c r="I375" s="733">
        <f>+J356*G375+E375</f>
        <v>237964.67532895721</v>
      </c>
      <c r="J375" s="729">
        <f t="shared" si="34"/>
        <v>0</v>
      </c>
      <c r="K375" s="729"/>
      <c r="L375" s="734"/>
      <c r="M375" s="729">
        <f t="shared" si="35"/>
        <v>0</v>
      </c>
      <c r="N375" s="734"/>
      <c r="O375" s="729">
        <f t="shared" si="36"/>
        <v>0</v>
      </c>
      <c r="P375" s="729">
        <f t="shared" si="37"/>
        <v>0</v>
      </c>
      <c r="Q375" s="677"/>
    </row>
    <row r="376" spans="2:17">
      <c r="B376" s="334"/>
      <c r="C376" s="725">
        <f>IF(D354="","-",+C375+1)</f>
        <v>2030</v>
      </c>
      <c r="D376" s="676">
        <f t="shared" si="38"/>
        <v>1804678.6440677969</v>
      </c>
      <c r="E376" s="732">
        <f t="shared" si="39"/>
        <v>41015.423728813563</v>
      </c>
      <c r="F376" s="732">
        <f t="shared" si="32"/>
        <v>1763663.2203389832</v>
      </c>
      <c r="G376" s="676">
        <f t="shared" si="33"/>
        <v>1784170.9322033902</v>
      </c>
      <c r="H376" s="726">
        <f>+J355*G376+E376</f>
        <v>233538.84945030231</v>
      </c>
      <c r="I376" s="733">
        <f>+J356*G376+E376</f>
        <v>233538.84945030231</v>
      </c>
      <c r="J376" s="729">
        <f t="shared" si="34"/>
        <v>0</v>
      </c>
      <c r="K376" s="729"/>
      <c r="L376" s="734"/>
      <c r="M376" s="729">
        <f t="shared" si="35"/>
        <v>0</v>
      </c>
      <c r="N376" s="734"/>
      <c r="O376" s="729">
        <f t="shared" si="36"/>
        <v>0</v>
      </c>
      <c r="P376" s="729">
        <f t="shared" si="37"/>
        <v>0</v>
      </c>
      <c r="Q376" s="677"/>
    </row>
    <row r="377" spans="2:17">
      <c r="B377" s="334"/>
      <c r="C377" s="725">
        <f>IF(D354="","-",+C376+1)</f>
        <v>2031</v>
      </c>
      <c r="D377" s="676">
        <f t="shared" si="38"/>
        <v>1763663.2203389832</v>
      </c>
      <c r="E377" s="732">
        <f t="shared" si="39"/>
        <v>41015.423728813563</v>
      </c>
      <c r="F377" s="732">
        <f t="shared" si="32"/>
        <v>1722647.7966101696</v>
      </c>
      <c r="G377" s="676">
        <f t="shared" si="33"/>
        <v>1743155.5084745763</v>
      </c>
      <c r="H377" s="726">
        <f>+J355*G377+E377</f>
        <v>229113.02357164735</v>
      </c>
      <c r="I377" s="733">
        <f>+J356*G377+E377</f>
        <v>229113.02357164735</v>
      </c>
      <c r="J377" s="729">
        <f t="shared" si="34"/>
        <v>0</v>
      </c>
      <c r="K377" s="729"/>
      <c r="L377" s="734"/>
      <c r="M377" s="729">
        <f t="shared" si="35"/>
        <v>0</v>
      </c>
      <c r="N377" s="734"/>
      <c r="O377" s="729">
        <f t="shared" si="36"/>
        <v>0</v>
      </c>
      <c r="P377" s="729">
        <f t="shared" si="37"/>
        <v>0</v>
      </c>
      <c r="Q377" s="677"/>
    </row>
    <row r="378" spans="2:17">
      <c r="B378" s="334"/>
      <c r="C378" s="725">
        <f>IF(D354="","-",+C377+1)</f>
        <v>2032</v>
      </c>
      <c r="D378" s="676">
        <f t="shared" si="38"/>
        <v>1722647.7966101696</v>
      </c>
      <c r="E378" s="732">
        <f t="shared" si="39"/>
        <v>41015.423728813563</v>
      </c>
      <c r="F378" s="732">
        <f t="shared" si="32"/>
        <v>1681632.3728813559</v>
      </c>
      <c r="G378" s="676">
        <f t="shared" si="33"/>
        <v>1702140.0847457629</v>
      </c>
      <c r="H378" s="726">
        <f>+J355*G378+E378</f>
        <v>224687.19769299246</v>
      </c>
      <c r="I378" s="733">
        <f>+J356*G378+E378</f>
        <v>224687.19769299246</v>
      </c>
      <c r="J378" s="729">
        <f t="shared" si="34"/>
        <v>0</v>
      </c>
      <c r="K378" s="729"/>
      <c r="L378" s="734"/>
      <c r="M378" s="729">
        <f t="shared" si="35"/>
        <v>0</v>
      </c>
      <c r="N378" s="734"/>
      <c r="O378" s="729">
        <f t="shared" si="36"/>
        <v>0</v>
      </c>
      <c r="P378" s="729">
        <f t="shared" si="37"/>
        <v>0</v>
      </c>
      <c r="Q378" s="677"/>
    </row>
    <row r="379" spans="2:17">
      <c r="B379" s="334"/>
      <c r="C379" s="725">
        <f>IF(D354="","-",+C378+1)</f>
        <v>2033</v>
      </c>
      <c r="D379" s="676">
        <f t="shared" si="38"/>
        <v>1681632.3728813559</v>
      </c>
      <c r="E379" s="732">
        <f t="shared" si="39"/>
        <v>41015.423728813563</v>
      </c>
      <c r="F379" s="732">
        <f t="shared" si="32"/>
        <v>1640616.9491525423</v>
      </c>
      <c r="G379" s="676">
        <f t="shared" si="33"/>
        <v>1661124.661016949</v>
      </c>
      <c r="H379" s="726">
        <f>+J355*G379+E379</f>
        <v>220261.3718143375</v>
      </c>
      <c r="I379" s="733">
        <f>+J356*G379+E379</f>
        <v>220261.3718143375</v>
      </c>
      <c r="J379" s="729">
        <f t="shared" si="34"/>
        <v>0</v>
      </c>
      <c r="K379" s="729"/>
      <c r="L379" s="734"/>
      <c r="M379" s="729">
        <f t="shared" si="35"/>
        <v>0</v>
      </c>
      <c r="N379" s="734"/>
      <c r="O379" s="729">
        <f t="shared" si="36"/>
        <v>0</v>
      </c>
      <c r="P379" s="729">
        <f t="shared" si="37"/>
        <v>0</v>
      </c>
      <c r="Q379" s="677"/>
    </row>
    <row r="380" spans="2:17">
      <c r="B380" s="334"/>
      <c r="C380" s="725">
        <f>IF(D354="","-",+C379+1)</f>
        <v>2034</v>
      </c>
      <c r="D380" s="676">
        <f t="shared" si="38"/>
        <v>1640616.9491525423</v>
      </c>
      <c r="E380" s="732">
        <f t="shared" si="39"/>
        <v>41015.423728813563</v>
      </c>
      <c r="F380" s="732">
        <f t="shared" si="32"/>
        <v>1599601.5254237286</v>
      </c>
      <c r="G380" s="676">
        <f t="shared" si="33"/>
        <v>1620109.2372881356</v>
      </c>
      <c r="H380" s="726">
        <f>+J355*G380+E380</f>
        <v>215835.5459356826</v>
      </c>
      <c r="I380" s="733">
        <f>+J356*G380+E380</f>
        <v>215835.5459356826</v>
      </c>
      <c r="J380" s="729">
        <f t="shared" si="34"/>
        <v>0</v>
      </c>
      <c r="K380" s="729"/>
      <c r="L380" s="734"/>
      <c r="M380" s="729">
        <f t="shared" si="35"/>
        <v>0</v>
      </c>
      <c r="N380" s="734"/>
      <c r="O380" s="729">
        <f t="shared" si="36"/>
        <v>0</v>
      </c>
      <c r="P380" s="729">
        <f t="shared" si="37"/>
        <v>0</v>
      </c>
      <c r="Q380" s="677"/>
    </row>
    <row r="381" spans="2:17">
      <c r="B381" s="334"/>
      <c r="C381" s="725">
        <f>IF(D354="","-",+C380+1)</f>
        <v>2035</v>
      </c>
      <c r="D381" s="676">
        <f t="shared" si="38"/>
        <v>1599601.5254237286</v>
      </c>
      <c r="E381" s="732">
        <f t="shared" si="39"/>
        <v>41015.423728813563</v>
      </c>
      <c r="F381" s="732">
        <f t="shared" si="32"/>
        <v>1558586.101694915</v>
      </c>
      <c r="G381" s="676">
        <f t="shared" si="33"/>
        <v>1579093.8135593217</v>
      </c>
      <c r="H381" s="726">
        <f>+J355*G381+E381</f>
        <v>211409.72005702768</v>
      </c>
      <c r="I381" s="733">
        <f>+J356*G381+E381</f>
        <v>211409.72005702768</v>
      </c>
      <c r="J381" s="729">
        <f t="shared" si="34"/>
        <v>0</v>
      </c>
      <c r="K381" s="729"/>
      <c r="L381" s="734"/>
      <c r="M381" s="729">
        <f t="shared" si="35"/>
        <v>0</v>
      </c>
      <c r="N381" s="734"/>
      <c r="O381" s="729">
        <f t="shared" si="36"/>
        <v>0</v>
      </c>
      <c r="P381" s="729">
        <f t="shared" si="37"/>
        <v>0</v>
      </c>
      <c r="Q381" s="677"/>
    </row>
    <row r="382" spans="2:17">
      <c r="B382" s="334"/>
      <c r="C382" s="725">
        <f>IF(D354="","-",+C381+1)</f>
        <v>2036</v>
      </c>
      <c r="D382" s="676">
        <f t="shared" si="38"/>
        <v>1558586.101694915</v>
      </c>
      <c r="E382" s="732">
        <f t="shared" si="39"/>
        <v>41015.423728813563</v>
      </c>
      <c r="F382" s="732">
        <f t="shared" si="32"/>
        <v>1517570.6779661013</v>
      </c>
      <c r="G382" s="676">
        <f t="shared" si="33"/>
        <v>1538078.3898305083</v>
      </c>
      <c r="H382" s="726">
        <f>+J355*G382+E382</f>
        <v>206983.89417837278</v>
      </c>
      <c r="I382" s="733">
        <f>+J356*G382+E382</f>
        <v>206983.89417837278</v>
      </c>
      <c r="J382" s="729">
        <f t="shared" si="34"/>
        <v>0</v>
      </c>
      <c r="K382" s="729"/>
      <c r="L382" s="734"/>
      <c r="M382" s="729">
        <f t="shared" si="35"/>
        <v>0</v>
      </c>
      <c r="N382" s="734"/>
      <c r="O382" s="729">
        <f t="shared" si="36"/>
        <v>0</v>
      </c>
      <c r="P382" s="729">
        <f t="shared" si="37"/>
        <v>0</v>
      </c>
      <c r="Q382" s="677"/>
    </row>
    <row r="383" spans="2:17">
      <c r="B383" s="334"/>
      <c r="C383" s="725">
        <f>IF(D354="","-",+C382+1)</f>
        <v>2037</v>
      </c>
      <c r="D383" s="676">
        <f t="shared" si="38"/>
        <v>1517570.6779661013</v>
      </c>
      <c r="E383" s="732">
        <f t="shared" si="39"/>
        <v>41015.423728813563</v>
      </c>
      <c r="F383" s="732">
        <f t="shared" si="32"/>
        <v>1476555.2542372877</v>
      </c>
      <c r="G383" s="676">
        <f t="shared" si="33"/>
        <v>1497062.9661016944</v>
      </c>
      <c r="H383" s="726">
        <f>+J355*G383+E383</f>
        <v>202558.06829971782</v>
      </c>
      <c r="I383" s="733">
        <f>+J356*G383+E383</f>
        <v>202558.06829971782</v>
      </c>
      <c r="J383" s="729">
        <f t="shared" si="34"/>
        <v>0</v>
      </c>
      <c r="K383" s="729"/>
      <c r="L383" s="734"/>
      <c r="M383" s="729">
        <f t="shared" si="35"/>
        <v>0</v>
      </c>
      <c r="N383" s="734"/>
      <c r="O383" s="729">
        <f t="shared" si="36"/>
        <v>0</v>
      </c>
      <c r="P383" s="729">
        <f t="shared" si="37"/>
        <v>0</v>
      </c>
      <c r="Q383" s="677"/>
    </row>
    <row r="384" spans="2:17">
      <c r="B384" s="334"/>
      <c r="C384" s="725">
        <f>IF(D354="","-",+C383+1)</f>
        <v>2038</v>
      </c>
      <c r="D384" s="676">
        <f t="shared" si="38"/>
        <v>1476555.2542372877</v>
      </c>
      <c r="E384" s="732">
        <f t="shared" si="39"/>
        <v>41015.423728813563</v>
      </c>
      <c r="F384" s="732">
        <f t="shared" si="32"/>
        <v>1435539.830508474</v>
      </c>
      <c r="G384" s="676">
        <f t="shared" si="33"/>
        <v>1456047.542372881</v>
      </c>
      <c r="H384" s="726">
        <f>+J355*G384+E384</f>
        <v>198132.24242106293</v>
      </c>
      <c r="I384" s="733">
        <f>+J356*G384+E384</f>
        <v>198132.24242106293</v>
      </c>
      <c r="J384" s="729">
        <f t="shared" si="34"/>
        <v>0</v>
      </c>
      <c r="K384" s="729"/>
      <c r="L384" s="734"/>
      <c r="M384" s="729">
        <f t="shared" si="35"/>
        <v>0</v>
      </c>
      <c r="N384" s="734"/>
      <c r="O384" s="729">
        <f t="shared" si="36"/>
        <v>0</v>
      </c>
      <c r="P384" s="729">
        <f t="shared" si="37"/>
        <v>0</v>
      </c>
      <c r="Q384" s="677"/>
    </row>
    <row r="385" spans="2:17">
      <c r="B385" s="334"/>
      <c r="C385" s="725">
        <f>IF(D354="","-",+C384+1)</f>
        <v>2039</v>
      </c>
      <c r="D385" s="676">
        <f t="shared" si="38"/>
        <v>1435539.830508474</v>
      </c>
      <c r="E385" s="732">
        <f t="shared" si="39"/>
        <v>41015.423728813563</v>
      </c>
      <c r="F385" s="732">
        <f t="shared" si="32"/>
        <v>1394524.4067796604</v>
      </c>
      <c r="G385" s="676">
        <f t="shared" si="33"/>
        <v>1415032.1186440671</v>
      </c>
      <c r="H385" s="726">
        <f>+J355*G385+E385</f>
        <v>193706.41654240797</v>
      </c>
      <c r="I385" s="733">
        <f>+J356*G385+E385</f>
        <v>193706.41654240797</v>
      </c>
      <c r="J385" s="729">
        <f t="shared" si="34"/>
        <v>0</v>
      </c>
      <c r="K385" s="729"/>
      <c r="L385" s="734"/>
      <c r="M385" s="729">
        <f t="shared" si="35"/>
        <v>0</v>
      </c>
      <c r="N385" s="734"/>
      <c r="O385" s="729">
        <f t="shared" si="36"/>
        <v>0</v>
      </c>
      <c r="P385" s="729">
        <f t="shared" si="37"/>
        <v>0</v>
      </c>
      <c r="Q385" s="677"/>
    </row>
    <row r="386" spans="2:17">
      <c r="B386" s="334"/>
      <c r="C386" s="725">
        <f>IF(D354="","-",+C385+1)</f>
        <v>2040</v>
      </c>
      <c r="D386" s="676">
        <f t="shared" si="38"/>
        <v>1394524.4067796604</v>
      </c>
      <c r="E386" s="732">
        <f t="shared" si="39"/>
        <v>41015.423728813563</v>
      </c>
      <c r="F386" s="732">
        <f t="shared" si="32"/>
        <v>1353508.9830508467</v>
      </c>
      <c r="G386" s="676">
        <f t="shared" si="33"/>
        <v>1374016.6949152537</v>
      </c>
      <c r="H386" s="726">
        <f>+J355*G386+E386</f>
        <v>189280.59066375307</v>
      </c>
      <c r="I386" s="733">
        <f>+J356*G386+E386</f>
        <v>189280.59066375307</v>
      </c>
      <c r="J386" s="729">
        <f t="shared" si="34"/>
        <v>0</v>
      </c>
      <c r="K386" s="729"/>
      <c r="L386" s="734"/>
      <c r="M386" s="729">
        <f t="shared" si="35"/>
        <v>0</v>
      </c>
      <c r="N386" s="734"/>
      <c r="O386" s="729">
        <f t="shared" si="36"/>
        <v>0</v>
      </c>
      <c r="P386" s="729">
        <f t="shared" si="37"/>
        <v>0</v>
      </c>
      <c r="Q386" s="677"/>
    </row>
    <row r="387" spans="2:17">
      <c r="B387" s="334"/>
      <c r="C387" s="725">
        <f>IF(D354="","-",+C386+1)</f>
        <v>2041</v>
      </c>
      <c r="D387" s="676">
        <f t="shared" si="38"/>
        <v>1353508.9830508467</v>
      </c>
      <c r="E387" s="732">
        <f t="shared" si="39"/>
        <v>41015.423728813563</v>
      </c>
      <c r="F387" s="732">
        <f t="shared" si="32"/>
        <v>1312493.5593220331</v>
      </c>
      <c r="G387" s="676">
        <f t="shared" si="33"/>
        <v>1333001.2711864398</v>
      </c>
      <c r="H387" s="726">
        <f>+J355*G387+E387</f>
        <v>184854.76478509814</v>
      </c>
      <c r="I387" s="733">
        <f>+J356*G387+E387</f>
        <v>184854.76478509814</v>
      </c>
      <c r="J387" s="729">
        <f t="shared" si="34"/>
        <v>0</v>
      </c>
      <c r="K387" s="729"/>
      <c r="L387" s="734"/>
      <c r="M387" s="729">
        <f t="shared" si="35"/>
        <v>0</v>
      </c>
      <c r="N387" s="734"/>
      <c r="O387" s="729">
        <f t="shared" si="36"/>
        <v>0</v>
      </c>
      <c r="P387" s="729">
        <f t="shared" si="37"/>
        <v>0</v>
      </c>
      <c r="Q387" s="677"/>
    </row>
    <row r="388" spans="2:17">
      <c r="B388" s="334"/>
      <c r="C388" s="725">
        <f>IF(D354="","-",+C387+1)</f>
        <v>2042</v>
      </c>
      <c r="D388" s="676">
        <f t="shared" si="38"/>
        <v>1312493.5593220331</v>
      </c>
      <c r="E388" s="732">
        <f t="shared" si="39"/>
        <v>41015.423728813563</v>
      </c>
      <c r="F388" s="732">
        <f t="shared" si="32"/>
        <v>1271478.1355932194</v>
      </c>
      <c r="G388" s="676">
        <f t="shared" si="33"/>
        <v>1291985.8474576264</v>
      </c>
      <c r="H388" s="726">
        <f>+J355*G388+E388</f>
        <v>180428.93890644325</v>
      </c>
      <c r="I388" s="733">
        <f>+J356*G388+E388</f>
        <v>180428.93890644325</v>
      </c>
      <c r="J388" s="729">
        <f t="shared" si="34"/>
        <v>0</v>
      </c>
      <c r="K388" s="729"/>
      <c r="L388" s="734"/>
      <c r="M388" s="729">
        <f t="shared" si="35"/>
        <v>0</v>
      </c>
      <c r="N388" s="734"/>
      <c r="O388" s="729">
        <f t="shared" si="36"/>
        <v>0</v>
      </c>
      <c r="P388" s="729">
        <f t="shared" si="37"/>
        <v>0</v>
      </c>
      <c r="Q388" s="677"/>
    </row>
    <row r="389" spans="2:17">
      <c r="B389" s="334"/>
      <c r="C389" s="725">
        <f>IF(D354="","-",+C388+1)</f>
        <v>2043</v>
      </c>
      <c r="D389" s="676">
        <f t="shared" si="38"/>
        <v>1271478.1355932194</v>
      </c>
      <c r="E389" s="732">
        <f t="shared" si="39"/>
        <v>41015.423728813563</v>
      </c>
      <c r="F389" s="732">
        <f t="shared" si="32"/>
        <v>1230462.7118644058</v>
      </c>
      <c r="G389" s="676">
        <f t="shared" si="33"/>
        <v>1250970.4237288125</v>
      </c>
      <c r="H389" s="726">
        <f>+J355*G389+E389</f>
        <v>176003.11302778829</v>
      </c>
      <c r="I389" s="733">
        <f>+J356*G389+E389</f>
        <v>176003.11302778829</v>
      </c>
      <c r="J389" s="729">
        <f t="shared" si="34"/>
        <v>0</v>
      </c>
      <c r="K389" s="729"/>
      <c r="L389" s="734"/>
      <c r="M389" s="729">
        <f t="shared" si="35"/>
        <v>0</v>
      </c>
      <c r="N389" s="734"/>
      <c r="O389" s="729">
        <f t="shared" si="36"/>
        <v>0</v>
      </c>
      <c r="P389" s="729">
        <f t="shared" si="37"/>
        <v>0</v>
      </c>
      <c r="Q389" s="677"/>
    </row>
    <row r="390" spans="2:17">
      <c r="B390" s="334"/>
      <c r="C390" s="725">
        <f>IF(D354="","-",+C389+1)</f>
        <v>2044</v>
      </c>
      <c r="D390" s="676">
        <f t="shared" si="38"/>
        <v>1230462.7118644058</v>
      </c>
      <c r="E390" s="732">
        <f t="shared" si="39"/>
        <v>41015.423728813563</v>
      </c>
      <c r="F390" s="732">
        <f t="shared" si="32"/>
        <v>1189447.2881355921</v>
      </c>
      <c r="G390" s="676">
        <f t="shared" si="33"/>
        <v>1209954.9999999991</v>
      </c>
      <c r="H390" s="726">
        <f>+J355*G390+E390</f>
        <v>171577.28714913339</v>
      </c>
      <c r="I390" s="733">
        <f>+J356*G390+E390</f>
        <v>171577.28714913339</v>
      </c>
      <c r="J390" s="729">
        <f t="shared" si="34"/>
        <v>0</v>
      </c>
      <c r="K390" s="729"/>
      <c r="L390" s="734"/>
      <c r="M390" s="729">
        <f t="shared" si="35"/>
        <v>0</v>
      </c>
      <c r="N390" s="734"/>
      <c r="O390" s="729">
        <f t="shared" si="36"/>
        <v>0</v>
      </c>
      <c r="P390" s="729">
        <f t="shared" si="37"/>
        <v>0</v>
      </c>
      <c r="Q390" s="677"/>
    </row>
    <row r="391" spans="2:17">
      <c r="B391" s="334"/>
      <c r="C391" s="725">
        <f>IF(D354="","-",+C390+1)</f>
        <v>2045</v>
      </c>
      <c r="D391" s="676">
        <f t="shared" si="38"/>
        <v>1189447.2881355921</v>
      </c>
      <c r="E391" s="732">
        <f t="shared" si="39"/>
        <v>41015.423728813563</v>
      </c>
      <c r="F391" s="732">
        <f t="shared" si="32"/>
        <v>1148431.8644067785</v>
      </c>
      <c r="G391" s="676">
        <f t="shared" si="33"/>
        <v>1168939.5762711852</v>
      </c>
      <c r="H391" s="726">
        <f>+J355*G391+E391</f>
        <v>167151.46127047844</v>
      </c>
      <c r="I391" s="733">
        <f>+J356*G391+E391</f>
        <v>167151.46127047844</v>
      </c>
      <c r="J391" s="729">
        <f t="shared" si="34"/>
        <v>0</v>
      </c>
      <c r="K391" s="729"/>
      <c r="L391" s="734"/>
      <c r="M391" s="729">
        <f t="shared" si="35"/>
        <v>0</v>
      </c>
      <c r="N391" s="734"/>
      <c r="O391" s="729">
        <f t="shared" si="36"/>
        <v>0</v>
      </c>
      <c r="P391" s="729">
        <f t="shared" si="37"/>
        <v>0</v>
      </c>
      <c r="Q391" s="677"/>
    </row>
    <row r="392" spans="2:17">
      <c r="B392" s="334"/>
      <c r="C392" s="725">
        <f>IF(D354="","-",+C391+1)</f>
        <v>2046</v>
      </c>
      <c r="D392" s="676">
        <f t="shared" si="38"/>
        <v>1148431.8644067785</v>
      </c>
      <c r="E392" s="732">
        <f t="shared" si="39"/>
        <v>41015.423728813563</v>
      </c>
      <c r="F392" s="732">
        <f t="shared" si="32"/>
        <v>1107416.4406779648</v>
      </c>
      <c r="G392" s="676">
        <f t="shared" si="33"/>
        <v>1127924.1525423718</v>
      </c>
      <c r="H392" s="726">
        <f>+J355*G392+E392</f>
        <v>162725.63539182354</v>
      </c>
      <c r="I392" s="733">
        <f>+J356*G392+E392</f>
        <v>162725.63539182354</v>
      </c>
      <c r="J392" s="729">
        <f t="shared" si="34"/>
        <v>0</v>
      </c>
      <c r="K392" s="729"/>
      <c r="L392" s="734"/>
      <c r="M392" s="729">
        <f t="shared" si="35"/>
        <v>0</v>
      </c>
      <c r="N392" s="734"/>
      <c r="O392" s="729">
        <f t="shared" si="36"/>
        <v>0</v>
      </c>
      <c r="P392" s="729">
        <f t="shared" si="37"/>
        <v>0</v>
      </c>
      <c r="Q392" s="677"/>
    </row>
    <row r="393" spans="2:17">
      <c r="B393" s="334"/>
      <c r="C393" s="725">
        <f>IF(D354="","-",+C392+1)</f>
        <v>2047</v>
      </c>
      <c r="D393" s="676">
        <f t="shared" si="38"/>
        <v>1107416.4406779648</v>
      </c>
      <c r="E393" s="732">
        <f t="shared" si="39"/>
        <v>41015.423728813563</v>
      </c>
      <c r="F393" s="732">
        <f t="shared" si="32"/>
        <v>1066401.0169491512</v>
      </c>
      <c r="G393" s="676">
        <f t="shared" si="33"/>
        <v>1086908.7288135579</v>
      </c>
      <c r="H393" s="726">
        <f>+J355*G393+E393</f>
        <v>158299.80951316858</v>
      </c>
      <c r="I393" s="733">
        <f>+J356*G393+E393</f>
        <v>158299.80951316858</v>
      </c>
      <c r="J393" s="729">
        <f t="shared" si="34"/>
        <v>0</v>
      </c>
      <c r="K393" s="729"/>
      <c r="L393" s="734"/>
      <c r="M393" s="729">
        <f t="shared" si="35"/>
        <v>0</v>
      </c>
      <c r="N393" s="734"/>
      <c r="O393" s="729">
        <f t="shared" si="36"/>
        <v>0</v>
      </c>
      <c r="P393" s="729">
        <f t="shared" si="37"/>
        <v>0</v>
      </c>
      <c r="Q393" s="677"/>
    </row>
    <row r="394" spans="2:17">
      <c r="B394" s="334"/>
      <c r="C394" s="725">
        <f>IF(D354="","-",+C393+1)</f>
        <v>2048</v>
      </c>
      <c r="D394" s="676">
        <f t="shared" si="38"/>
        <v>1066401.0169491512</v>
      </c>
      <c r="E394" s="732">
        <f t="shared" si="39"/>
        <v>41015.423728813563</v>
      </c>
      <c r="F394" s="732">
        <f t="shared" si="32"/>
        <v>1025385.5932203376</v>
      </c>
      <c r="G394" s="676">
        <f t="shared" si="33"/>
        <v>1045893.3050847445</v>
      </c>
      <c r="H394" s="726">
        <f>+J355*G394+E394</f>
        <v>153873.98363451369</v>
      </c>
      <c r="I394" s="733">
        <f>+J356*G394+E394</f>
        <v>153873.98363451369</v>
      </c>
      <c r="J394" s="729">
        <f t="shared" si="34"/>
        <v>0</v>
      </c>
      <c r="K394" s="729"/>
      <c r="L394" s="734"/>
      <c r="M394" s="729">
        <f t="shared" si="35"/>
        <v>0</v>
      </c>
      <c r="N394" s="734"/>
      <c r="O394" s="729">
        <f t="shared" si="36"/>
        <v>0</v>
      </c>
      <c r="P394" s="729">
        <f t="shared" si="37"/>
        <v>0</v>
      </c>
      <c r="Q394" s="677"/>
    </row>
    <row r="395" spans="2:17">
      <c r="B395" s="334"/>
      <c r="C395" s="725">
        <f>IF(D354="","-",+C394+1)</f>
        <v>2049</v>
      </c>
      <c r="D395" s="676">
        <f t="shared" si="38"/>
        <v>1025385.5932203376</v>
      </c>
      <c r="E395" s="732">
        <f t="shared" si="39"/>
        <v>41015.423728813563</v>
      </c>
      <c r="F395" s="732">
        <f t="shared" si="32"/>
        <v>984370.16949152411</v>
      </c>
      <c r="G395" s="676">
        <f t="shared" si="33"/>
        <v>1004877.8813559308</v>
      </c>
      <c r="H395" s="726">
        <f>+J355*G395+E395</f>
        <v>149448.15775585879</v>
      </c>
      <c r="I395" s="733">
        <f>+J356*G395+E395</f>
        <v>149448.15775585879</v>
      </c>
      <c r="J395" s="729">
        <f t="shared" si="34"/>
        <v>0</v>
      </c>
      <c r="K395" s="729"/>
      <c r="L395" s="734"/>
      <c r="M395" s="729">
        <f t="shared" si="35"/>
        <v>0</v>
      </c>
      <c r="N395" s="734"/>
      <c r="O395" s="729">
        <f t="shared" si="36"/>
        <v>0</v>
      </c>
      <c r="P395" s="729">
        <f t="shared" si="37"/>
        <v>0</v>
      </c>
      <c r="Q395" s="677"/>
    </row>
    <row r="396" spans="2:17">
      <c r="B396" s="334"/>
      <c r="C396" s="725">
        <f>IF(D354="","-",+C395+1)</f>
        <v>2050</v>
      </c>
      <c r="D396" s="676">
        <f t="shared" si="38"/>
        <v>984370.16949152411</v>
      </c>
      <c r="E396" s="732">
        <f t="shared" si="39"/>
        <v>41015.423728813563</v>
      </c>
      <c r="F396" s="732">
        <f t="shared" si="32"/>
        <v>943354.74576271058</v>
      </c>
      <c r="G396" s="676">
        <f t="shared" si="33"/>
        <v>963862.4576271174</v>
      </c>
      <c r="H396" s="726">
        <f>+J355*G396+E396</f>
        <v>145022.33187720389</v>
      </c>
      <c r="I396" s="733">
        <f>+J356*G396+E396</f>
        <v>145022.33187720389</v>
      </c>
      <c r="J396" s="729">
        <f t="shared" si="34"/>
        <v>0</v>
      </c>
      <c r="K396" s="729"/>
      <c r="L396" s="734"/>
      <c r="M396" s="729">
        <f t="shared" si="35"/>
        <v>0</v>
      </c>
      <c r="N396" s="734"/>
      <c r="O396" s="729">
        <f t="shared" si="36"/>
        <v>0</v>
      </c>
      <c r="P396" s="729">
        <f t="shared" si="37"/>
        <v>0</v>
      </c>
      <c r="Q396" s="677"/>
    </row>
    <row r="397" spans="2:17">
      <c r="B397" s="334"/>
      <c r="C397" s="725">
        <f>IF(D354="","-",+C396+1)</f>
        <v>2051</v>
      </c>
      <c r="D397" s="676">
        <f t="shared" si="38"/>
        <v>943354.74576271058</v>
      </c>
      <c r="E397" s="732">
        <f t="shared" si="39"/>
        <v>41015.423728813563</v>
      </c>
      <c r="F397" s="732">
        <f t="shared" si="32"/>
        <v>902339.32203389704</v>
      </c>
      <c r="G397" s="676">
        <f t="shared" si="33"/>
        <v>922847.03389830375</v>
      </c>
      <c r="H397" s="726">
        <f>+J355*G397+E397</f>
        <v>140596.50599854896</v>
      </c>
      <c r="I397" s="733">
        <f>+J356*G397+E397</f>
        <v>140596.50599854896</v>
      </c>
      <c r="J397" s="729">
        <f t="shared" si="34"/>
        <v>0</v>
      </c>
      <c r="K397" s="729"/>
      <c r="L397" s="734"/>
      <c r="M397" s="729">
        <f t="shared" si="35"/>
        <v>0</v>
      </c>
      <c r="N397" s="734"/>
      <c r="O397" s="729">
        <f t="shared" si="36"/>
        <v>0</v>
      </c>
      <c r="P397" s="729">
        <f t="shared" si="37"/>
        <v>0</v>
      </c>
      <c r="Q397" s="677"/>
    </row>
    <row r="398" spans="2:17">
      <c r="B398" s="334"/>
      <c r="C398" s="725">
        <f>IF(D354="","-",+C397+1)</f>
        <v>2052</v>
      </c>
      <c r="D398" s="676">
        <f t="shared" si="38"/>
        <v>902339.32203389704</v>
      </c>
      <c r="E398" s="732">
        <f t="shared" si="39"/>
        <v>41015.423728813563</v>
      </c>
      <c r="F398" s="732">
        <f t="shared" si="32"/>
        <v>861323.89830508351</v>
      </c>
      <c r="G398" s="676">
        <f t="shared" si="33"/>
        <v>881831.61016949033</v>
      </c>
      <c r="H398" s="726">
        <f>+J355*G398+E398</f>
        <v>136170.68011989407</v>
      </c>
      <c r="I398" s="733">
        <f>+J356*G398+E398</f>
        <v>136170.68011989407</v>
      </c>
      <c r="J398" s="729">
        <f t="shared" si="34"/>
        <v>0</v>
      </c>
      <c r="K398" s="729"/>
      <c r="L398" s="734"/>
      <c r="M398" s="729">
        <f t="shared" si="35"/>
        <v>0</v>
      </c>
      <c r="N398" s="734"/>
      <c r="O398" s="729">
        <f t="shared" si="36"/>
        <v>0</v>
      </c>
      <c r="P398" s="729">
        <f t="shared" si="37"/>
        <v>0</v>
      </c>
      <c r="Q398" s="677"/>
    </row>
    <row r="399" spans="2:17">
      <c r="B399" s="334"/>
      <c r="C399" s="725">
        <f>IF(D354="","-",+C398+1)</f>
        <v>2053</v>
      </c>
      <c r="D399" s="676">
        <f t="shared" si="38"/>
        <v>861323.89830508351</v>
      </c>
      <c r="E399" s="732">
        <f t="shared" si="39"/>
        <v>41015.423728813563</v>
      </c>
      <c r="F399" s="732">
        <f t="shared" si="32"/>
        <v>820308.47457626997</v>
      </c>
      <c r="G399" s="676">
        <f t="shared" si="33"/>
        <v>840816.18644067668</v>
      </c>
      <c r="H399" s="726">
        <f>+J355*G399+E399</f>
        <v>131744.85424123914</v>
      </c>
      <c r="I399" s="733">
        <f>+J356*G399+E399</f>
        <v>131744.85424123914</v>
      </c>
      <c r="J399" s="729">
        <f t="shared" si="34"/>
        <v>0</v>
      </c>
      <c r="K399" s="729"/>
      <c r="L399" s="734"/>
      <c r="M399" s="729">
        <f t="shared" si="35"/>
        <v>0</v>
      </c>
      <c r="N399" s="734"/>
      <c r="O399" s="729">
        <f t="shared" si="36"/>
        <v>0</v>
      </c>
      <c r="P399" s="729">
        <f t="shared" si="37"/>
        <v>0</v>
      </c>
      <c r="Q399" s="677"/>
    </row>
    <row r="400" spans="2:17">
      <c r="B400" s="334"/>
      <c r="C400" s="725">
        <f>IF(D354="","-",+C399+1)</f>
        <v>2054</v>
      </c>
      <c r="D400" s="676">
        <f t="shared" si="38"/>
        <v>820308.47457626997</v>
      </c>
      <c r="E400" s="732">
        <f t="shared" si="39"/>
        <v>41015.423728813563</v>
      </c>
      <c r="F400" s="732">
        <f t="shared" si="32"/>
        <v>779293.05084745644</v>
      </c>
      <c r="G400" s="676">
        <f t="shared" si="33"/>
        <v>799800.76271186327</v>
      </c>
      <c r="H400" s="726">
        <f>+J355*G400+E400</f>
        <v>127319.02836258424</v>
      </c>
      <c r="I400" s="733">
        <f>+J356*G400+E400</f>
        <v>127319.02836258424</v>
      </c>
      <c r="J400" s="729">
        <f t="shared" si="34"/>
        <v>0</v>
      </c>
      <c r="K400" s="729"/>
      <c r="L400" s="734"/>
      <c r="M400" s="729">
        <f t="shared" si="35"/>
        <v>0</v>
      </c>
      <c r="N400" s="734"/>
      <c r="O400" s="729">
        <f t="shared" si="36"/>
        <v>0</v>
      </c>
      <c r="P400" s="729">
        <f t="shared" si="37"/>
        <v>0</v>
      </c>
      <c r="Q400" s="677"/>
    </row>
    <row r="401" spans="2:17">
      <c r="B401" s="334"/>
      <c r="C401" s="725">
        <f>IF(D354="","-",+C400+1)</f>
        <v>2055</v>
      </c>
      <c r="D401" s="676">
        <f t="shared" si="38"/>
        <v>779293.05084745644</v>
      </c>
      <c r="E401" s="732">
        <f t="shared" si="39"/>
        <v>41015.423728813563</v>
      </c>
      <c r="F401" s="732">
        <f t="shared" si="32"/>
        <v>738277.62711864291</v>
      </c>
      <c r="G401" s="676">
        <f t="shared" si="33"/>
        <v>758785.33898304962</v>
      </c>
      <c r="H401" s="726">
        <f>+J355*G401+E401</f>
        <v>122893.20248392932</v>
      </c>
      <c r="I401" s="733">
        <f>+J356*G401+E401</f>
        <v>122893.20248392932</v>
      </c>
      <c r="J401" s="729">
        <f t="shared" si="34"/>
        <v>0</v>
      </c>
      <c r="K401" s="729"/>
      <c r="L401" s="734"/>
      <c r="M401" s="729">
        <f t="shared" si="35"/>
        <v>0</v>
      </c>
      <c r="N401" s="734"/>
      <c r="O401" s="729">
        <f t="shared" si="36"/>
        <v>0</v>
      </c>
      <c r="P401" s="729">
        <f t="shared" si="37"/>
        <v>0</v>
      </c>
      <c r="Q401" s="677"/>
    </row>
    <row r="402" spans="2:17">
      <c r="B402" s="334"/>
      <c r="C402" s="725">
        <f>IF(D354="","-",+C401+1)</f>
        <v>2056</v>
      </c>
      <c r="D402" s="676">
        <f t="shared" si="38"/>
        <v>738277.62711864291</v>
      </c>
      <c r="E402" s="732">
        <f t="shared" si="39"/>
        <v>41015.423728813563</v>
      </c>
      <c r="F402" s="732">
        <f t="shared" si="32"/>
        <v>697262.20338982937</v>
      </c>
      <c r="G402" s="676">
        <f t="shared" si="33"/>
        <v>717769.9152542362</v>
      </c>
      <c r="H402" s="726">
        <f>+J355*G402+E402</f>
        <v>118467.37660527442</v>
      </c>
      <c r="I402" s="733">
        <f>+J356*G402+E402</f>
        <v>118467.37660527442</v>
      </c>
      <c r="J402" s="729">
        <f t="shared" si="34"/>
        <v>0</v>
      </c>
      <c r="K402" s="729"/>
      <c r="L402" s="734"/>
      <c r="M402" s="729">
        <f t="shared" si="35"/>
        <v>0</v>
      </c>
      <c r="N402" s="734"/>
      <c r="O402" s="729">
        <f t="shared" si="36"/>
        <v>0</v>
      </c>
      <c r="P402" s="729">
        <f t="shared" si="37"/>
        <v>0</v>
      </c>
      <c r="Q402" s="677"/>
    </row>
    <row r="403" spans="2:17">
      <c r="B403" s="334"/>
      <c r="C403" s="725">
        <f>IF(D354="","-",+C402+1)</f>
        <v>2057</v>
      </c>
      <c r="D403" s="676">
        <f t="shared" si="38"/>
        <v>697262.20338982937</v>
      </c>
      <c r="E403" s="732">
        <f t="shared" si="39"/>
        <v>41015.423728813563</v>
      </c>
      <c r="F403" s="732">
        <f t="shared" si="32"/>
        <v>656246.77966101584</v>
      </c>
      <c r="G403" s="676">
        <f t="shared" si="33"/>
        <v>676754.49152542255</v>
      </c>
      <c r="H403" s="726">
        <f>+J355*G403+E403</f>
        <v>114041.55072661949</v>
      </c>
      <c r="I403" s="733">
        <f>+J356*G403+E403</f>
        <v>114041.55072661949</v>
      </c>
      <c r="J403" s="729">
        <f t="shared" si="34"/>
        <v>0</v>
      </c>
      <c r="K403" s="729"/>
      <c r="L403" s="734"/>
      <c r="M403" s="729">
        <f t="shared" si="35"/>
        <v>0</v>
      </c>
      <c r="N403" s="734"/>
      <c r="O403" s="729">
        <f t="shared" si="36"/>
        <v>0</v>
      </c>
      <c r="P403" s="729">
        <f t="shared" si="37"/>
        <v>0</v>
      </c>
      <c r="Q403" s="677"/>
    </row>
    <row r="404" spans="2:17">
      <c r="B404" s="334"/>
      <c r="C404" s="725">
        <f>IF(D354="","-",+C403+1)</f>
        <v>2058</v>
      </c>
      <c r="D404" s="676">
        <f t="shared" si="38"/>
        <v>656246.77966101584</v>
      </c>
      <c r="E404" s="732">
        <f t="shared" si="39"/>
        <v>41015.423728813563</v>
      </c>
      <c r="F404" s="732">
        <f t="shared" si="32"/>
        <v>615231.35593220231</v>
      </c>
      <c r="G404" s="676">
        <f t="shared" si="33"/>
        <v>635739.06779660913</v>
      </c>
      <c r="H404" s="726">
        <f>+J355*G404+E404</f>
        <v>109615.72484796459</v>
      </c>
      <c r="I404" s="733">
        <f>+J356*G404+E404</f>
        <v>109615.72484796459</v>
      </c>
      <c r="J404" s="729">
        <f t="shared" si="34"/>
        <v>0</v>
      </c>
      <c r="K404" s="729"/>
      <c r="L404" s="734"/>
      <c r="M404" s="729">
        <f t="shared" si="35"/>
        <v>0</v>
      </c>
      <c r="N404" s="734"/>
      <c r="O404" s="729">
        <f t="shared" si="36"/>
        <v>0</v>
      </c>
      <c r="P404" s="729">
        <f t="shared" si="37"/>
        <v>0</v>
      </c>
      <c r="Q404" s="677"/>
    </row>
    <row r="405" spans="2:17">
      <c r="B405" s="334"/>
      <c r="C405" s="725">
        <f>IF(D354="","-",+C404+1)</f>
        <v>2059</v>
      </c>
      <c r="D405" s="676">
        <f t="shared" si="38"/>
        <v>615231.35593220231</v>
      </c>
      <c r="E405" s="732">
        <f t="shared" si="39"/>
        <v>41015.423728813563</v>
      </c>
      <c r="F405" s="732">
        <f t="shared" si="32"/>
        <v>574215.93220338877</v>
      </c>
      <c r="G405" s="676">
        <f t="shared" si="33"/>
        <v>594723.64406779548</v>
      </c>
      <c r="H405" s="726">
        <f>+J355*G405+E405</f>
        <v>105189.89896930967</v>
      </c>
      <c r="I405" s="733">
        <f>+J356*G405+E405</f>
        <v>105189.89896930967</v>
      </c>
      <c r="J405" s="729">
        <f t="shared" si="34"/>
        <v>0</v>
      </c>
      <c r="K405" s="729"/>
      <c r="L405" s="734"/>
      <c r="M405" s="729">
        <f t="shared" si="35"/>
        <v>0</v>
      </c>
      <c r="N405" s="734"/>
      <c r="O405" s="729">
        <f t="shared" si="36"/>
        <v>0</v>
      </c>
      <c r="P405" s="729">
        <f t="shared" si="37"/>
        <v>0</v>
      </c>
      <c r="Q405" s="677"/>
    </row>
    <row r="406" spans="2:17">
      <c r="B406" s="334"/>
      <c r="C406" s="725">
        <f>IF(D354="","-",+C405+1)</f>
        <v>2060</v>
      </c>
      <c r="D406" s="676">
        <f t="shared" si="38"/>
        <v>574215.93220338877</v>
      </c>
      <c r="E406" s="732">
        <f t="shared" si="39"/>
        <v>41015.423728813563</v>
      </c>
      <c r="F406" s="732">
        <f t="shared" si="32"/>
        <v>533200.50847457524</v>
      </c>
      <c r="G406" s="676">
        <f t="shared" si="33"/>
        <v>553708.22033898206</v>
      </c>
      <c r="H406" s="726">
        <f>+J355*G406+E406</f>
        <v>100764.07309065477</v>
      </c>
      <c r="I406" s="733">
        <f>+J356*G406+E406</f>
        <v>100764.07309065477</v>
      </c>
      <c r="J406" s="729">
        <f t="shared" si="34"/>
        <v>0</v>
      </c>
      <c r="K406" s="729"/>
      <c r="L406" s="734"/>
      <c r="M406" s="729">
        <f t="shared" si="35"/>
        <v>0</v>
      </c>
      <c r="N406" s="734"/>
      <c r="O406" s="729">
        <f t="shared" si="36"/>
        <v>0</v>
      </c>
      <c r="P406" s="729">
        <f t="shared" si="37"/>
        <v>0</v>
      </c>
      <c r="Q406" s="677"/>
    </row>
    <row r="407" spans="2:17">
      <c r="B407" s="334"/>
      <c r="C407" s="725">
        <f>IF(D354="","-",+C406+1)</f>
        <v>2061</v>
      </c>
      <c r="D407" s="676">
        <f t="shared" si="38"/>
        <v>533200.50847457524</v>
      </c>
      <c r="E407" s="732">
        <f t="shared" si="39"/>
        <v>41015.423728813563</v>
      </c>
      <c r="F407" s="732">
        <f t="shared" si="32"/>
        <v>492185.08474576171</v>
      </c>
      <c r="G407" s="676">
        <f t="shared" si="33"/>
        <v>512692.79661016847</v>
      </c>
      <c r="H407" s="726">
        <f>+J355*G407+E407</f>
        <v>96338.247211999871</v>
      </c>
      <c r="I407" s="733">
        <f>+J356*G407+E407</f>
        <v>96338.247211999871</v>
      </c>
      <c r="J407" s="729">
        <f t="shared" si="34"/>
        <v>0</v>
      </c>
      <c r="K407" s="729"/>
      <c r="L407" s="734"/>
      <c r="M407" s="729">
        <f t="shared" si="35"/>
        <v>0</v>
      </c>
      <c r="N407" s="734"/>
      <c r="O407" s="729">
        <f t="shared" si="36"/>
        <v>0</v>
      </c>
      <c r="P407" s="729">
        <f t="shared" si="37"/>
        <v>0</v>
      </c>
      <c r="Q407" s="677"/>
    </row>
    <row r="408" spans="2:17">
      <c r="B408" s="334"/>
      <c r="C408" s="725">
        <f>IF(D354="","-",+C407+1)</f>
        <v>2062</v>
      </c>
      <c r="D408" s="676">
        <f t="shared" si="38"/>
        <v>492185.08474576171</v>
      </c>
      <c r="E408" s="732">
        <f t="shared" si="39"/>
        <v>41015.423728813563</v>
      </c>
      <c r="F408" s="732">
        <f t="shared" si="32"/>
        <v>451169.66101694817</v>
      </c>
      <c r="G408" s="676">
        <f t="shared" si="33"/>
        <v>471677.37288135494</v>
      </c>
      <c r="H408" s="726">
        <f>+J355*G408+E408</f>
        <v>91912.421333344944</v>
      </c>
      <c r="I408" s="733">
        <f>+J356*G408+E408</f>
        <v>91912.421333344944</v>
      </c>
      <c r="J408" s="729">
        <f t="shared" si="34"/>
        <v>0</v>
      </c>
      <c r="K408" s="729"/>
      <c r="L408" s="734"/>
      <c r="M408" s="729">
        <f t="shared" si="35"/>
        <v>0</v>
      </c>
      <c r="N408" s="734"/>
      <c r="O408" s="729">
        <f t="shared" si="36"/>
        <v>0</v>
      </c>
      <c r="P408" s="729">
        <f t="shared" si="37"/>
        <v>0</v>
      </c>
      <c r="Q408" s="677"/>
    </row>
    <row r="409" spans="2:17">
      <c r="B409" s="334"/>
      <c r="C409" s="725">
        <f>IF(D354="","-",+C408+1)</f>
        <v>2063</v>
      </c>
      <c r="D409" s="676">
        <f t="shared" si="38"/>
        <v>451169.66101694817</v>
      </c>
      <c r="E409" s="732">
        <f t="shared" si="39"/>
        <v>41015.423728813563</v>
      </c>
      <c r="F409" s="732">
        <f t="shared" si="32"/>
        <v>410154.23728813464</v>
      </c>
      <c r="G409" s="676">
        <f t="shared" si="33"/>
        <v>430661.94915254141</v>
      </c>
      <c r="H409" s="726">
        <f>+J355*G409+E409</f>
        <v>87486.595454690047</v>
      </c>
      <c r="I409" s="733">
        <f>+J356*G409+E409</f>
        <v>87486.595454690047</v>
      </c>
      <c r="J409" s="729">
        <f t="shared" si="34"/>
        <v>0</v>
      </c>
      <c r="K409" s="729"/>
      <c r="L409" s="734"/>
      <c r="M409" s="729">
        <f t="shared" si="35"/>
        <v>0</v>
      </c>
      <c r="N409" s="734"/>
      <c r="O409" s="729">
        <f t="shared" si="36"/>
        <v>0</v>
      </c>
      <c r="P409" s="729">
        <f t="shared" si="37"/>
        <v>0</v>
      </c>
      <c r="Q409" s="677"/>
    </row>
    <row r="410" spans="2:17">
      <c r="B410" s="334"/>
      <c r="C410" s="725">
        <f>IF(D354="","-",+C409+1)</f>
        <v>2064</v>
      </c>
      <c r="D410" s="676">
        <f t="shared" si="38"/>
        <v>410154.23728813464</v>
      </c>
      <c r="E410" s="732">
        <f t="shared" si="39"/>
        <v>41015.423728813563</v>
      </c>
      <c r="F410" s="732">
        <f t="shared" si="32"/>
        <v>369138.8135593211</v>
      </c>
      <c r="G410" s="676">
        <f t="shared" si="33"/>
        <v>389646.52542372787</v>
      </c>
      <c r="H410" s="726">
        <f>+J355*G410+E410</f>
        <v>83060.769576035134</v>
      </c>
      <c r="I410" s="733">
        <f>+J356*G410+E410</f>
        <v>83060.769576035134</v>
      </c>
      <c r="J410" s="729">
        <f t="shared" si="34"/>
        <v>0</v>
      </c>
      <c r="K410" s="729"/>
      <c r="L410" s="734"/>
      <c r="M410" s="729">
        <f t="shared" si="35"/>
        <v>0</v>
      </c>
      <c r="N410" s="734"/>
      <c r="O410" s="729">
        <f t="shared" si="36"/>
        <v>0</v>
      </c>
      <c r="P410" s="729">
        <f t="shared" si="37"/>
        <v>0</v>
      </c>
      <c r="Q410" s="677"/>
    </row>
    <row r="411" spans="2:17">
      <c r="B411" s="334"/>
      <c r="C411" s="725">
        <f>IF(D354="","-",+C410+1)</f>
        <v>2065</v>
      </c>
      <c r="D411" s="676">
        <f t="shared" si="38"/>
        <v>369138.8135593211</v>
      </c>
      <c r="E411" s="732">
        <f t="shared" si="39"/>
        <v>41015.423728813563</v>
      </c>
      <c r="F411" s="732">
        <f t="shared" si="32"/>
        <v>328123.38983050757</v>
      </c>
      <c r="G411" s="676">
        <f t="shared" si="33"/>
        <v>348631.10169491434</v>
      </c>
      <c r="H411" s="726">
        <f>+J355*G411+E411</f>
        <v>78634.943697380222</v>
      </c>
      <c r="I411" s="733">
        <f>+J356*G411+E411</f>
        <v>78634.943697380222</v>
      </c>
      <c r="J411" s="729">
        <f t="shared" si="34"/>
        <v>0</v>
      </c>
      <c r="K411" s="729"/>
      <c r="L411" s="734"/>
      <c r="M411" s="729">
        <f t="shared" si="35"/>
        <v>0</v>
      </c>
      <c r="N411" s="734"/>
      <c r="O411" s="729">
        <f t="shared" si="36"/>
        <v>0</v>
      </c>
      <c r="P411" s="729">
        <f t="shared" si="37"/>
        <v>0</v>
      </c>
      <c r="Q411" s="677"/>
    </row>
    <row r="412" spans="2:17">
      <c r="B412" s="334"/>
      <c r="C412" s="725">
        <f>IF(D354="","-",+C411+1)</f>
        <v>2066</v>
      </c>
      <c r="D412" s="676">
        <f t="shared" si="38"/>
        <v>328123.38983050757</v>
      </c>
      <c r="E412" s="732">
        <f t="shared" si="39"/>
        <v>41015.423728813563</v>
      </c>
      <c r="F412" s="732">
        <f t="shared" si="32"/>
        <v>287107.96610169404</v>
      </c>
      <c r="G412" s="676">
        <f t="shared" si="33"/>
        <v>307615.6779661008</v>
      </c>
      <c r="H412" s="726">
        <f>+J355*G412+E412</f>
        <v>74209.11781872531</v>
      </c>
      <c r="I412" s="733">
        <f>+J356*G412+E412</f>
        <v>74209.11781872531</v>
      </c>
      <c r="J412" s="729">
        <f t="shared" si="34"/>
        <v>0</v>
      </c>
      <c r="K412" s="729"/>
      <c r="L412" s="734"/>
      <c r="M412" s="729">
        <f t="shared" si="35"/>
        <v>0</v>
      </c>
      <c r="N412" s="734"/>
      <c r="O412" s="729">
        <f t="shared" si="36"/>
        <v>0</v>
      </c>
      <c r="P412" s="729">
        <f t="shared" si="37"/>
        <v>0</v>
      </c>
      <c r="Q412" s="677"/>
    </row>
    <row r="413" spans="2:17">
      <c r="B413" s="334"/>
      <c r="C413" s="725">
        <f>IF(D354="","-",+C412+1)</f>
        <v>2067</v>
      </c>
      <c r="D413" s="676">
        <f t="shared" si="38"/>
        <v>287107.96610169404</v>
      </c>
      <c r="E413" s="732">
        <f t="shared" si="39"/>
        <v>41015.423728813563</v>
      </c>
      <c r="F413" s="732">
        <f t="shared" si="32"/>
        <v>246092.54237288047</v>
      </c>
      <c r="G413" s="676">
        <f t="shared" si="33"/>
        <v>266600.25423728727</v>
      </c>
      <c r="H413" s="726">
        <f>+J355*G413+E413</f>
        <v>69783.291940070398</v>
      </c>
      <c r="I413" s="733">
        <f>+J356*G413+E413</f>
        <v>69783.291940070398</v>
      </c>
      <c r="J413" s="729">
        <f t="shared" si="34"/>
        <v>0</v>
      </c>
      <c r="K413" s="729"/>
      <c r="L413" s="734"/>
      <c r="M413" s="729">
        <f t="shared" si="35"/>
        <v>0</v>
      </c>
      <c r="N413" s="734"/>
      <c r="O413" s="729">
        <f t="shared" si="36"/>
        <v>0</v>
      </c>
      <c r="P413" s="729">
        <f t="shared" si="37"/>
        <v>0</v>
      </c>
      <c r="Q413" s="677"/>
    </row>
    <row r="414" spans="2:17">
      <c r="B414" s="334"/>
      <c r="C414" s="725">
        <f>IF(D354="","-",+C413+1)</f>
        <v>2068</v>
      </c>
      <c r="D414" s="676">
        <f t="shared" si="38"/>
        <v>246092.54237288047</v>
      </c>
      <c r="E414" s="732">
        <f t="shared" si="39"/>
        <v>41015.423728813563</v>
      </c>
      <c r="F414" s="732">
        <f t="shared" si="32"/>
        <v>205077.11864406691</v>
      </c>
      <c r="G414" s="676">
        <f t="shared" si="33"/>
        <v>225584.83050847368</v>
      </c>
      <c r="H414" s="726">
        <f>+J355*G414+E414</f>
        <v>65357.466061415485</v>
      </c>
      <c r="I414" s="733">
        <f>+J356*G414+E414</f>
        <v>65357.466061415485</v>
      </c>
      <c r="J414" s="729">
        <f t="shared" si="34"/>
        <v>0</v>
      </c>
      <c r="K414" s="729"/>
      <c r="L414" s="734"/>
      <c r="M414" s="729">
        <f t="shared" si="35"/>
        <v>0</v>
      </c>
      <c r="N414" s="734"/>
      <c r="O414" s="729">
        <f t="shared" si="36"/>
        <v>0</v>
      </c>
      <c r="P414" s="729">
        <f t="shared" si="37"/>
        <v>0</v>
      </c>
      <c r="Q414" s="677"/>
    </row>
    <row r="415" spans="2:17">
      <c r="B415" s="334"/>
      <c r="C415" s="725">
        <f>IF(D354="","-",+C414+1)</f>
        <v>2069</v>
      </c>
      <c r="D415" s="676">
        <f t="shared" si="38"/>
        <v>205077.11864406691</v>
      </c>
      <c r="E415" s="732">
        <f t="shared" si="39"/>
        <v>41015.423728813563</v>
      </c>
      <c r="F415" s="732">
        <f t="shared" si="32"/>
        <v>164061.69491525335</v>
      </c>
      <c r="G415" s="676">
        <f t="shared" si="33"/>
        <v>184569.40677966014</v>
      </c>
      <c r="H415" s="726">
        <f>+J355*G415+E415</f>
        <v>60931.640182760573</v>
      </c>
      <c r="I415" s="733">
        <f>+J356*G415+E415</f>
        <v>60931.640182760573</v>
      </c>
      <c r="J415" s="729">
        <f t="shared" si="34"/>
        <v>0</v>
      </c>
      <c r="K415" s="729"/>
      <c r="L415" s="734"/>
      <c r="M415" s="729">
        <f t="shared" si="35"/>
        <v>0</v>
      </c>
      <c r="N415" s="734"/>
      <c r="O415" s="729">
        <f t="shared" si="36"/>
        <v>0</v>
      </c>
      <c r="P415" s="729">
        <f t="shared" si="37"/>
        <v>0</v>
      </c>
      <c r="Q415" s="677"/>
    </row>
    <row r="416" spans="2:17">
      <c r="B416" s="334"/>
      <c r="C416" s="725">
        <f>IF(D354="","-",+C415+1)</f>
        <v>2070</v>
      </c>
      <c r="D416" s="676">
        <f t="shared" si="38"/>
        <v>164061.69491525335</v>
      </c>
      <c r="E416" s="732">
        <f t="shared" si="39"/>
        <v>41015.423728813563</v>
      </c>
      <c r="F416" s="732">
        <f t="shared" si="32"/>
        <v>123046.27118643979</v>
      </c>
      <c r="G416" s="676">
        <f t="shared" si="33"/>
        <v>143553.98305084655</v>
      </c>
      <c r="H416" s="726">
        <f>+J355*G416+E416</f>
        <v>56505.814304105661</v>
      </c>
      <c r="I416" s="733">
        <f>+J356*G416+E416</f>
        <v>56505.814304105661</v>
      </c>
      <c r="J416" s="729">
        <f t="shared" si="34"/>
        <v>0</v>
      </c>
      <c r="K416" s="729"/>
      <c r="L416" s="734"/>
      <c r="M416" s="729">
        <f t="shared" si="35"/>
        <v>0</v>
      </c>
      <c r="N416" s="734"/>
      <c r="O416" s="729">
        <f t="shared" si="36"/>
        <v>0</v>
      </c>
      <c r="P416" s="729">
        <f t="shared" si="37"/>
        <v>0</v>
      </c>
      <c r="Q416" s="677"/>
    </row>
    <row r="417" spans="1:17">
      <c r="B417" s="334"/>
      <c r="C417" s="725">
        <f>IF(D354="","-",+C416+1)</f>
        <v>2071</v>
      </c>
      <c r="D417" s="676">
        <f t="shared" si="38"/>
        <v>123046.27118643979</v>
      </c>
      <c r="E417" s="732">
        <f t="shared" si="39"/>
        <v>41015.423728813563</v>
      </c>
      <c r="F417" s="732">
        <f t="shared" si="32"/>
        <v>82030.847457626223</v>
      </c>
      <c r="G417" s="676">
        <f t="shared" si="33"/>
        <v>102538.559322033</v>
      </c>
      <c r="H417" s="726">
        <f>+J355*G417+E417</f>
        <v>52079.988425450749</v>
      </c>
      <c r="I417" s="733">
        <f>+J356*G417+E417</f>
        <v>52079.988425450749</v>
      </c>
      <c r="J417" s="729">
        <f t="shared" si="34"/>
        <v>0</v>
      </c>
      <c r="K417" s="729"/>
      <c r="L417" s="734"/>
      <c r="M417" s="729">
        <f t="shared" si="35"/>
        <v>0</v>
      </c>
      <c r="N417" s="734"/>
      <c r="O417" s="729">
        <f t="shared" si="36"/>
        <v>0</v>
      </c>
      <c r="P417" s="729">
        <f t="shared" si="37"/>
        <v>0</v>
      </c>
      <c r="Q417" s="677"/>
    </row>
    <row r="418" spans="1:17">
      <c r="B418" s="334"/>
      <c r="C418" s="725">
        <f>IF(D354="","-",+C417+1)</f>
        <v>2072</v>
      </c>
      <c r="D418" s="676">
        <f t="shared" si="38"/>
        <v>82030.847457626223</v>
      </c>
      <c r="E418" s="732">
        <f t="shared" si="39"/>
        <v>41015.423728813563</v>
      </c>
      <c r="F418" s="732">
        <f t="shared" si="32"/>
        <v>41015.423728812661</v>
      </c>
      <c r="G418" s="676">
        <f t="shared" si="33"/>
        <v>61523.135593219442</v>
      </c>
      <c r="H418" s="726">
        <f>+J355*G418+E418</f>
        <v>47654.162546795837</v>
      </c>
      <c r="I418" s="733">
        <f>+J356*G418+E418</f>
        <v>47654.162546795837</v>
      </c>
      <c r="J418" s="729">
        <f t="shared" si="34"/>
        <v>0</v>
      </c>
      <c r="K418" s="729"/>
      <c r="L418" s="734"/>
      <c r="M418" s="729">
        <f t="shared" si="35"/>
        <v>0</v>
      </c>
      <c r="N418" s="734"/>
      <c r="O418" s="729">
        <f t="shared" si="36"/>
        <v>0</v>
      </c>
      <c r="P418" s="729">
        <f t="shared" si="37"/>
        <v>0</v>
      </c>
      <c r="Q418" s="677"/>
    </row>
    <row r="419" spans="1:17" ht="13.5" thickBot="1">
      <c r="B419" s="334"/>
      <c r="C419" s="737">
        <f>IF(D354="","-",+C418+1)</f>
        <v>2073</v>
      </c>
      <c r="D419" s="738">
        <f t="shared" si="38"/>
        <v>41015.423728812661</v>
      </c>
      <c r="E419" s="739">
        <f t="shared" si="39"/>
        <v>41015.423728812661</v>
      </c>
      <c r="F419" s="739">
        <f t="shared" si="32"/>
        <v>0</v>
      </c>
      <c r="G419" s="738">
        <f t="shared" si="33"/>
        <v>20507.71186440633</v>
      </c>
      <c r="H419" s="740">
        <f>+J355*G419+E419</f>
        <v>43228.336668140066</v>
      </c>
      <c r="I419" s="740">
        <f>+J356*G419+E419</f>
        <v>43228.336668140066</v>
      </c>
      <c r="J419" s="741">
        <f t="shared" si="34"/>
        <v>0</v>
      </c>
      <c r="K419" s="729"/>
      <c r="L419" s="742"/>
      <c r="M419" s="741">
        <f t="shared" si="35"/>
        <v>0</v>
      </c>
      <c r="N419" s="742"/>
      <c r="O419" s="741">
        <f t="shared" si="36"/>
        <v>0</v>
      </c>
      <c r="P419" s="741">
        <f t="shared" si="37"/>
        <v>0</v>
      </c>
      <c r="Q419" s="677"/>
    </row>
    <row r="420" spans="1:17">
      <c r="B420" s="334"/>
      <c r="C420" s="676" t="s">
        <v>289</v>
      </c>
      <c r="D420" s="672"/>
      <c r="E420" s="672">
        <f>SUM(E360:E419)</f>
        <v>2419910</v>
      </c>
      <c r="F420" s="672"/>
      <c r="G420" s="672"/>
      <c r="H420" s="672">
        <f>SUM(H360:H419)</f>
        <v>10384183.668639513</v>
      </c>
      <c r="I420" s="672">
        <f>SUM(I360:I419)</f>
        <v>10384183.668639513</v>
      </c>
      <c r="J420" s="672">
        <f>SUM(J360:J419)</f>
        <v>0</v>
      </c>
      <c r="K420" s="672"/>
      <c r="L420" s="672"/>
      <c r="M420" s="672"/>
      <c r="N420" s="672"/>
      <c r="O420" s="672"/>
      <c r="Q420" s="672"/>
    </row>
    <row r="421" spans="1:17">
      <c r="B421" s="334"/>
      <c r="D421" s="566"/>
      <c r="E421" s="543"/>
      <c r="F421" s="543"/>
      <c r="G421" s="543"/>
      <c r="H421" s="543"/>
      <c r="I421" s="649"/>
      <c r="J421" s="649"/>
      <c r="K421" s="672"/>
      <c r="L421" s="649"/>
      <c r="M421" s="649"/>
      <c r="N421" s="649"/>
      <c r="O421" s="649"/>
      <c r="Q421" s="672"/>
    </row>
    <row r="422" spans="1:17">
      <c r="B422" s="334"/>
      <c r="C422" s="543" t="s">
        <v>602</v>
      </c>
      <c r="D422" s="566"/>
      <c r="E422" s="543"/>
      <c r="F422" s="543"/>
      <c r="G422" s="543"/>
      <c r="H422" s="543"/>
      <c r="I422" s="649"/>
      <c r="J422" s="649"/>
      <c r="K422" s="672"/>
      <c r="L422" s="649"/>
      <c r="M422" s="649"/>
      <c r="N422" s="649"/>
      <c r="O422" s="649"/>
      <c r="Q422" s="672"/>
    </row>
    <row r="423" spans="1:17">
      <c r="B423" s="334"/>
      <c r="D423" s="566"/>
      <c r="E423" s="543"/>
      <c r="F423" s="543"/>
      <c r="G423" s="543"/>
      <c r="H423" s="543"/>
      <c r="I423" s="649"/>
      <c r="J423" s="649"/>
      <c r="K423" s="672"/>
      <c r="L423" s="649"/>
      <c r="M423" s="649"/>
      <c r="N423" s="649"/>
      <c r="O423" s="649"/>
      <c r="Q423" s="672"/>
    </row>
    <row r="424" spans="1:17">
      <c r="B424" s="334"/>
      <c r="C424" s="579" t="s">
        <v>603</v>
      </c>
      <c r="D424" s="676"/>
      <c r="E424" s="676"/>
      <c r="F424" s="676"/>
      <c r="G424" s="676"/>
      <c r="H424" s="672"/>
      <c r="I424" s="672"/>
      <c r="J424" s="677"/>
      <c r="K424" s="677"/>
      <c r="L424" s="677"/>
      <c r="M424" s="677"/>
      <c r="N424" s="677"/>
      <c r="O424" s="677"/>
      <c r="Q424" s="677"/>
    </row>
    <row r="425" spans="1:17">
      <c r="B425" s="334"/>
      <c r="C425" s="579" t="s">
        <v>477</v>
      </c>
      <c r="D425" s="676"/>
      <c r="E425" s="676"/>
      <c r="F425" s="676"/>
      <c r="G425" s="676"/>
      <c r="H425" s="672"/>
      <c r="I425" s="672"/>
      <c r="J425" s="677"/>
      <c r="K425" s="677"/>
      <c r="L425" s="677"/>
      <c r="M425" s="677"/>
      <c r="N425" s="677"/>
      <c r="O425" s="677"/>
      <c r="Q425" s="677"/>
    </row>
    <row r="426" spans="1:17">
      <c r="B426" s="334"/>
      <c r="C426" s="579" t="s">
        <v>290</v>
      </c>
      <c r="D426" s="676"/>
      <c r="E426" s="676"/>
      <c r="F426" s="676"/>
      <c r="G426" s="676"/>
      <c r="H426" s="672"/>
      <c r="I426" s="672"/>
      <c r="J426" s="677"/>
      <c r="K426" s="677"/>
      <c r="L426" s="677"/>
      <c r="M426" s="677"/>
      <c r="N426" s="677"/>
      <c r="O426" s="677"/>
      <c r="Q426" s="677"/>
    </row>
    <row r="427" spans="1:17" ht="20.25">
      <c r="A427" s="678" t="s">
        <v>780</v>
      </c>
      <c r="B427" s="543"/>
      <c r="C427" s="658"/>
      <c r="D427" s="566"/>
      <c r="E427" s="543"/>
      <c r="F427" s="648"/>
      <c r="G427" s="648"/>
      <c r="H427" s="543"/>
      <c r="I427" s="649"/>
      <c r="L427" s="679"/>
      <c r="M427" s="679"/>
      <c r="N427" s="679"/>
      <c r="O427" s="594" t="str">
        <f>"Page "&amp;SUM(Q$3:Q427)&amp;" of "</f>
        <v xml:space="preserve">Page 6 of </v>
      </c>
      <c r="P427" s="595">
        <f>COUNT(Q$8:Q$58123)</f>
        <v>15</v>
      </c>
      <c r="Q427" s="763">
        <v>1</v>
      </c>
    </row>
    <row r="428" spans="1:17">
      <c r="B428" s="543"/>
      <c r="C428" s="543"/>
      <c r="D428" s="566"/>
      <c r="E428" s="543"/>
      <c r="F428" s="543"/>
      <c r="G428" s="543"/>
      <c r="H428" s="543"/>
      <c r="I428" s="649"/>
      <c r="J428" s="543"/>
      <c r="K428" s="591"/>
      <c r="Q428" s="591"/>
    </row>
    <row r="429" spans="1:17" ht="18">
      <c r="B429" s="598" t="s">
        <v>175</v>
      </c>
      <c r="C429" s="680" t="s">
        <v>291</v>
      </c>
      <c r="D429" s="566"/>
      <c r="E429" s="543"/>
      <c r="F429" s="543"/>
      <c r="G429" s="543"/>
      <c r="H429" s="543"/>
      <c r="I429" s="649"/>
      <c r="J429" s="649"/>
      <c r="K429" s="672"/>
      <c r="L429" s="649"/>
      <c r="M429" s="649"/>
      <c r="N429" s="649"/>
      <c r="O429" s="649"/>
      <c r="Q429" s="672"/>
    </row>
    <row r="430" spans="1:17" ht="18.75">
      <c r="B430" s="598"/>
      <c r="C430" s="597"/>
      <c r="D430" s="566"/>
      <c r="E430" s="543"/>
      <c r="F430" s="543"/>
      <c r="G430" s="543"/>
      <c r="H430" s="543"/>
      <c r="I430" s="649"/>
      <c r="J430" s="649"/>
      <c r="K430" s="672"/>
      <c r="L430" s="649"/>
      <c r="M430" s="649"/>
      <c r="N430" s="649"/>
      <c r="O430" s="649"/>
      <c r="Q430" s="672"/>
    </row>
    <row r="431" spans="1:17" ht="18.75">
      <c r="B431" s="598"/>
      <c r="C431" s="597" t="s">
        <v>292</v>
      </c>
      <c r="D431" s="566"/>
      <c r="E431" s="543"/>
      <c r="F431" s="543"/>
      <c r="G431" s="543"/>
      <c r="H431" s="543"/>
      <c r="I431" s="649"/>
      <c r="J431" s="649"/>
      <c r="K431" s="672"/>
      <c r="L431" s="649"/>
      <c r="M431" s="649"/>
      <c r="N431" s="649"/>
      <c r="O431" s="649"/>
      <c r="Q431" s="672"/>
    </row>
    <row r="432" spans="1:17" ht="15.75" thickBot="1">
      <c r="B432" s="334"/>
      <c r="C432" s="400"/>
      <c r="D432" s="566"/>
      <c r="E432" s="543"/>
      <c r="F432" s="543"/>
      <c r="G432" s="543"/>
      <c r="H432" s="543"/>
      <c r="I432" s="649"/>
      <c r="J432" s="649"/>
      <c r="K432" s="672"/>
      <c r="L432" s="649"/>
      <c r="M432" s="649"/>
      <c r="N432" s="649"/>
      <c r="O432" s="649"/>
      <c r="Q432" s="672"/>
    </row>
    <row r="433" spans="1:17" ht="15.75">
      <c r="B433" s="334"/>
      <c r="C433" s="599" t="s">
        <v>293</v>
      </c>
      <c r="D433" s="566"/>
      <c r="E433" s="543"/>
      <c r="F433" s="543"/>
      <c r="G433" s="543"/>
      <c r="H433" s="874"/>
      <c r="I433" s="543" t="s">
        <v>272</v>
      </c>
      <c r="J433" s="543"/>
      <c r="K433" s="591"/>
      <c r="L433" s="764">
        <f>+J439</f>
        <v>2018</v>
      </c>
      <c r="M433" s="746" t="s">
        <v>255</v>
      </c>
      <c r="N433" s="746" t="s">
        <v>256</v>
      </c>
      <c r="O433" s="747" t="s">
        <v>257</v>
      </c>
      <c r="Q433" s="591"/>
    </row>
    <row r="434" spans="1:17" ht="15.75">
      <c r="B434" s="334"/>
      <c r="C434" s="599"/>
      <c r="D434" s="566"/>
      <c r="E434" s="543"/>
      <c r="F434" s="543"/>
      <c r="H434" s="543"/>
      <c r="I434" s="684"/>
      <c r="J434" s="684"/>
      <c r="K434" s="685"/>
      <c r="L434" s="765" t="s">
        <v>456</v>
      </c>
      <c r="M434" s="766">
        <f>VLOOKUP(J439,C446:P505,10)</f>
        <v>1845050</v>
      </c>
      <c r="N434" s="766">
        <f>VLOOKUP(J439,C446:P505,12)</f>
        <v>1845050</v>
      </c>
      <c r="O434" s="767">
        <f>+N434-M434</f>
        <v>0</v>
      </c>
      <c r="Q434" s="685"/>
    </row>
    <row r="435" spans="1:17">
      <c r="B435" s="334"/>
      <c r="C435" s="687" t="s">
        <v>294</v>
      </c>
      <c r="D435" s="1434" t="s">
        <v>999</v>
      </c>
      <c r="E435" s="1434"/>
      <c r="F435" s="1434"/>
      <c r="G435" s="1434"/>
      <c r="H435" s="1434"/>
      <c r="I435" s="649"/>
      <c r="J435" s="649"/>
      <c r="K435" s="672"/>
      <c r="L435" s="765" t="s">
        <v>457</v>
      </c>
      <c r="M435" s="768">
        <f>VLOOKUP(J439,C446:P505,6)</f>
        <v>1807819.4864149396</v>
      </c>
      <c r="N435" s="768">
        <f>VLOOKUP(J439,C446:P505,7)</f>
        <v>1807819.4864149396</v>
      </c>
      <c r="O435" s="769">
        <f>+N435-M435</f>
        <v>0</v>
      </c>
      <c r="Q435" s="672"/>
    </row>
    <row r="436" spans="1:17" ht="13.5" thickBot="1">
      <c r="B436" s="334"/>
      <c r="C436" s="689"/>
      <c r="D436" s="690"/>
      <c r="E436" s="674"/>
      <c r="F436" s="674"/>
      <c r="G436" s="674"/>
      <c r="H436" s="691"/>
      <c r="I436" s="649"/>
      <c r="J436" s="649"/>
      <c r="K436" s="672"/>
      <c r="L436" s="710" t="s">
        <v>458</v>
      </c>
      <c r="M436" s="770">
        <f>+M435-M434</f>
        <v>-37230.513585060369</v>
      </c>
      <c r="N436" s="770">
        <f>+N435-N434</f>
        <v>-37230.513585060369</v>
      </c>
      <c r="O436" s="771">
        <f>+O435-O434</f>
        <v>0</v>
      </c>
      <c r="Q436" s="672"/>
    </row>
    <row r="437" spans="1:17" ht="13.5" thickBot="1">
      <c r="B437" s="334"/>
      <c r="C437" s="692"/>
      <c r="D437" s="693"/>
      <c r="E437" s="691"/>
      <c r="F437" s="691"/>
      <c r="G437" s="691"/>
      <c r="H437" s="691"/>
      <c r="I437" s="691"/>
      <c r="J437" s="691"/>
      <c r="K437" s="694"/>
      <c r="L437" s="691"/>
      <c r="M437" s="691"/>
      <c r="N437" s="691"/>
      <c r="O437" s="691"/>
      <c r="P437" s="579"/>
      <c r="Q437" s="694"/>
    </row>
    <row r="438" spans="1:17" ht="13.5" thickBot="1">
      <c r="B438" s="334"/>
      <c r="C438" s="696" t="s">
        <v>295</v>
      </c>
      <c r="D438" s="697"/>
      <c r="E438" s="697"/>
      <c r="F438" s="697"/>
      <c r="G438" s="697"/>
      <c r="H438" s="697"/>
      <c r="I438" s="697"/>
      <c r="J438" s="697"/>
      <c r="K438" s="699"/>
      <c r="P438" s="700"/>
      <c r="Q438" s="699"/>
    </row>
    <row r="439" spans="1:17" ht="15">
      <c r="A439" s="695"/>
      <c r="B439" s="334"/>
      <c r="C439" s="702" t="s">
        <v>273</v>
      </c>
      <c r="D439" s="1268">
        <v>15164190</v>
      </c>
      <c r="E439" s="658" t="s">
        <v>274</v>
      </c>
      <c r="H439" s="703"/>
      <c r="I439" s="703"/>
      <c r="J439" s="704">
        <v>2018</v>
      </c>
      <c r="K439" s="589"/>
      <c r="L439" s="1445" t="s">
        <v>275</v>
      </c>
      <c r="M439" s="1445"/>
      <c r="N439" s="1445"/>
      <c r="O439" s="1445"/>
      <c r="P439" s="591"/>
      <c r="Q439" s="589"/>
    </row>
    <row r="440" spans="1:17">
      <c r="A440" s="695"/>
      <c r="B440" s="334"/>
      <c r="C440" s="702" t="s">
        <v>276</v>
      </c>
      <c r="D440" s="876">
        <v>2015</v>
      </c>
      <c r="E440" s="702" t="s">
        <v>277</v>
      </c>
      <c r="F440" s="703"/>
      <c r="G440" s="703"/>
      <c r="I440" s="334"/>
      <c r="J440" s="879">
        <v>0</v>
      </c>
      <c r="K440" s="705"/>
      <c r="L440" s="672" t="s">
        <v>476</v>
      </c>
      <c r="P440" s="591"/>
      <c r="Q440" s="705"/>
    </row>
    <row r="441" spans="1:17">
      <c r="A441" s="695"/>
      <c r="B441" s="334"/>
      <c r="C441" s="702" t="s">
        <v>278</v>
      </c>
      <c r="D441" s="1269">
        <v>5</v>
      </c>
      <c r="E441" s="702" t="s">
        <v>279</v>
      </c>
      <c r="F441" s="703"/>
      <c r="G441" s="703"/>
      <c r="I441" s="334"/>
      <c r="J441" s="706">
        <f>$F$70</f>
        <v>0.10790637951024619</v>
      </c>
      <c r="K441" s="707"/>
      <c r="L441" s="543" t="str">
        <f>"          INPUT TRUE-UP ARR (WITH &amp; WITHOUT INCENTIVES) FROM EACH PRIOR YEAR"</f>
        <v xml:space="preserve">          INPUT TRUE-UP ARR (WITH &amp; WITHOUT INCENTIVES) FROM EACH PRIOR YEAR</v>
      </c>
      <c r="P441" s="591"/>
      <c r="Q441" s="707"/>
    </row>
    <row r="442" spans="1:17">
      <c r="A442" s="695"/>
      <c r="B442" s="334"/>
      <c r="C442" s="702" t="s">
        <v>280</v>
      </c>
      <c r="D442" s="708">
        <f>H79</f>
        <v>59</v>
      </c>
      <c r="E442" s="702" t="s">
        <v>281</v>
      </c>
      <c r="F442" s="703"/>
      <c r="G442" s="703"/>
      <c r="I442" s="334"/>
      <c r="J442" s="706">
        <f>IF(H433="",J441,$F$69)</f>
        <v>0.10790637951024619</v>
      </c>
      <c r="K442" s="709"/>
      <c r="L442" s="543" t="s">
        <v>363</v>
      </c>
      <c r="M442" s="709"/>
      <c r="N442" s="709"/>
      <c r="O442" s="709"/>
      <c r="P442" s="591"/>
      <c r="Q442" s="709"/>
    </row>
    <row r="443" spans="1:17" ht="13.5" thickBot="1">
      <c r="A443" s="695"/>
      <c r="B443" s="334"/>
      <c r="C443" s="702" t="s">
        <v>282</v>
      </c>
      <c r="D443" s="878" t="s">
        <v>995</v>
      </c>
      <c r="E443" s="710" t="s">
        <v>283</v>
      </c>
      <c r="F443" s="711"/>
      <c r="G443" s="711"/>
      <c r="H443" s="712"/>
      <c r="I443" s="712"/>
      <c r="J443" s="688">
        <f>IF(D439=0,0,D439/D442)</f>
        <v>257020.16949152542</v>
      </c>
      <c r="K443" s="672"/>
      <c r="L443" s="672" t="s">
        <v>364</v>
      </c>
      <c r="M443" s="672"/>
      <c r="N443" s="672"/>
      <c r="O443" s="672"/>
      <c r="P443" s="591"/>
      <c r="Q443" s="672"/>
    </row>
    <row r="444" spans="1:17" ht="38.25">
      <c r="A444" s="530"/>
      <c r="B444" s="530"/>
      <c r="C444" s="713" t="s">
        <v>273</v>
      </c>
      <c r="D444" s="714" t="s">
        <v>284</v>
      </c>
      <c r="E444" s="715" t="s">
        <v>285</v>
      </c>
      <c r="F444" s="714" t="s">
        <v>286</v>
      </c>
      <c r="G444" s="714" t="s">
        <v>459</v>
      </c>
      <c r="H444" s="715" t="s">
        <v>357</v>
      </c>
      <c r="I444" s="716" t="s">
        <v>357</v>
      </c>
      <c r="J444" s="713" t="s">
        <v>296</v>
      </c>
      <c r="K444" s="717"/>
      <c r="L444" s="715" t="s">
        <v>359</v>
      </c>
      <c r="M444" s="715" t="s">
        <v>365</v>
      </c>
      <c r="N444" s="715" t="s">
        <v>359</v>
      </c>
      <c r="O444" s="715" t="s">
        <v>367</v>
      </c>
      <c r="P444" s="715" t="s">
        <v>287</v>
      </c>
      <c r="Q444" s="718"/>
    </row>
    <row r="445" spans="1:17" ht="13.5" thickBot="1">
      <c r="B445" s="334"/>
      <c r="C445" s="719" t="s">
        <v>178</v>
      </c>
      <c r="D445" s="720" t="s">
        <v>179</v>
      </c>
      <c r="E445" s="719" t="s">
        <v>37</v>
      </c>
      <c r="F445" s="720" t="s">
        <v>179</v>
      </c>
      <c r="G445" s="720" t="s">
        <v>179</v>
      </c>
      <c r="H445" s="721" t="s">
        <v>299</v>
      </c>
      <c r="I445" s="722" t="s">
        <v>301</v>
      </c>
      <c r="J445" s="723" t="s">
        <v>390</v>
      </c>
      <c r="K445" s="724"/>
      <c r="L445" s="721" t="s">
        <v>288</v>
      </c>
      <c r="M445" s="721" t="s">
        <v>288</v>
      </c>
      <c r="N445" s="721" t="s">
        <v>468</v>
      </c>
      <c r="O445" s="721" t="s">
        <v>468</v>
      </c>
      <c r="P445" s="721" t="s">
        <v>468</v>
      </c>
      <c r="Q445" s="589"/>
    </row>
    <row r="446" spans="1:17">
      <c r="B446" s="334"/>
      <c r="C446" s="725">
        <f>IF(D440= "","-",D440)</f>
        <v>2015</v>
      </c>
      <c r="D446" s="676">
        <f>+D439</f>
        <v>15164190</v>
      </c>
      <c r="E446" s="726">
        <f>+J443/12*(12-D441)</f>
        <v>149928.43220338982</v>
      </c>
      <c r="F446" s="772">
        <f t="shared" ref="F446:F505" si="40">+D446-E446</f>
        <v>15014261.56779661</v>
      </c>
      <c r="G446" s="676">
        <f t="shared" ref="G446:G505" si="41">+(D446+F446)/2</f>
        <v>15089225.783898305</v>
      </c>
      <c r="H446" s="727">
        <f>+J441*G446+E446</f>
        <v>1778152.1561565124</v>
      </c>
      <c r="I446" s="728">
        <f>+J442*G446+E446</f>
        <v>1778152.1561565124</v>
      </c>
      <c r="J446" s="729">
        <f t="shared" ref="J446:J505" si="42">+I446-H446</f>
        <v>0</v>
      </c>
      <c r="K446" s="729"/>
      <c r="L446" s="730">
        <v>2647738</v>
      </c>
      <c r="M446" s="773">
        <f t="shared" ref="M446:M505" si="43">IF(L446&lt;&gt;0,+H446-L446,0)</f>
        <v>-869585.84384348756</v>
      </c>
      <c r="N446" s="730">
        <v>2647738</v>
      </c>
      <c r="O446" s="773">
        <f t="shared" ref="O446:O505" si="44">IF(N446&lt;&gt;0,+I446-N446,0)</f>
        <v>-869585.84384348756</v>
      </c>
      <c r="P446" s="773">
        <f t="shared" ref="P446:P505" si="45">+O446-M446</f>
        <v>0</v>
      </c>
      <c r="Q446" s="677"/>
    </row>
    <row r="447" spans="1:17">
      <c r="B447" s="334"/>
      <c r="C447" s="725">
        <f>IF(D440="","-",+C446+1)</f>
        <v>2016</v>
      </c>
      <c r="D447" s="676">
        <f t="shared" ref="D447:D505" si="46">F446</f>
        <v>15014261.56779661</v>
      </c>
      <c r="E447" s="732">
        <f>IF(D447&gt;$J$443,$J$443,D447)</f>
        <v>257020.16949152542</v>
      </c>
      <c r="F447" s="732">
        <f t="shared" si="40"/>
        <v>14757241.398305085</v>
      </c>
      <c r="G447" s="676">
        <f t="shared" si="41"/>
        <v>14885751.483050847</v>
      </c>
      <c r="H447" s="726">
        <f>+J441*G447+E447</f>
        <v>1863287.7183168202</v>
      </c>
      <c r="I447" s="733">
        <f>+J442*G447+E447</f>
        <v>1863287.7183168202</v>
      </c>
      <c r="J447" s="729">
        <f t="shared" si="42"/>
        <v>0</v>
      </c>
      <c r="K447" s="729"/>
      <c r="L447" s="734">
        <v>2089493</v>
      </c>
      <c r="M447" s="729">
        <f t="shared" si="43"/>
        <v>-226205.28168317978</v>
      </c>
      <c r="N447" s="734">
        <v>2089493</v>
      </c>
      <c r="O447" s="729">
        <f t="shared" si="44"/>
        <v>-226205.28168317978</v>
      </c>
      <c r="P447" s="729">
        <f t="shared" si="45"/>
        <v>0</v>
      </c>
      <c r="Q447" s="677"/>
    </row>
    <row r="448" spans="1:17">
      <c r="B448" s="334"/>
      <c r="C448" s="725">
        <f>IF(D440="","-",+C447+1)</f>
        <v>2017</v>
      </c>
      <c r="D448" s="676">
        <f t="shared" si="46"/>
        <v>14757241.398305085</v>
      </c>
      <c r="E448" s="732">
        <f t="shared" ref="E448:E505" si="47">IF(D448&gt;$J$443,$J$443,D448)</f>
        <v>257020.16949152542</v>
      </c>
      <c r="F448" s="732">
        <f t="shared" si="40"/>
        <v>14500221.228813559</v>
      </c>
      <c r="G448" s="676">
        <f t="shared" si="41"/>
        <v>14628731.313559322</v>
      </c>
      <c r="H448" s="726">
        <f>+J441*G448+E448</f>
        <v>1835553.6023658798</v>
      </c>
      <c r="I448" s="733">
        <f>+J442*G448+E448</f>
        <v>1835553.6023658798</v>
      </c>
      <c r="J448" s="729">
        <f t="shared" si="42"/>
        <v>0</v>
      </c>
      <c r="K448" s="729"/>
      <c r="L448" s="734">
        <v>2125650</v>
      </c>
      <c r="M448" s="729">
        <f t="shared" si="43"/>
        <v>-290096.39763412019</v>
      </c>
      <c r="N448" s="734">
        <v>2125650</v>
      </c>
      <c r="O448" s="729">
        <f t="shared" si="44"/>
        <v>-290096.39763412019</v>
      </c>
      <c r="P448" s="729">
        <f t="shared" si="45"/>
        <v>0</v>
      </c>
      <c r="Q448" s="677"/>
    </row>
    <row r="449" spans="2:17">
      <c r="B449" s="334"/>
      <c r="C449" s="725">
        <f>IF(D440="","-",+C448+1)</f>
        <v>2018</v>
      </c>
      <c r="D449" s="1311">
        <f t="shared" si="46"/>
        <v>14500221.228813559</v>
      </c>
      <c r="E449" s="732">
        <f t="shared" si="47"/>
        <v>257020.16949152542</v>
      </c>
      <c r="F449" s="732">
        <f t="shared" si="40"/>
        <v>14243201.059322033</v>
      </c>
      <c r="G449" s="676">
        <f t="shared" si="41"/>
        <v>14371711.144067796</v>
      </c>
      <c r="H449" s="726">
        <f>+J441*G449+E449</f>
        <v>1807819.4864149396</v>
      </c>
      <c r="I449" s="733">
        <f>+J442*G449+E449</f>
        <v>1807819.4864149396</v>
      </c>
      <c r="J449" s="729">
        <f t="shared" si="42"/>
        <v>0</v>
      </c>
      <c r="K449" s="729"/>
      <c r="L449" s="734">
        <v>1845050</v>
      </c>
      <c r="M449" s="729">
        <f t="shared" si="43"/>
        <v>-37230.513585060369</v>
      </c>
      <c r="N449" s="734">
        <v>1845050</v>
      </c>
      <c r="O449" s="729">
        <f t="shared" si="44"/>
        <v>-37230.513585060369</v>
      </c>
      <c r="P449" s="729">
        <f t="shared" si="45"/>
        <v>0</v>
      </c>
      <c r="Q449" s="677"/>
    </row>
    <row r="450" spans="2:17">
      <c r="B450" s="334"/>
      <c r="C450" s="725">
        <f>IF(D440="","-",+C449+1)</f>
        <v>2019</v>
      </c>
      <c r="D450" s="1282">
        <f t="shared" si="46"/>
        <v>14243201.059322033</v>
      </c>
      <c r="E450" s="732">
        <f t="shared" si="47"/>
        <v>257020.16949152542</v>
      </c>
      <c r="F450" s="732">
        <f t="shared" si="40"/>
        <v>13986180.889830507</v>
      </c>
      <c r="G450" s="676">
        <f t="shared" si="41"/>
        <v>14114690.97457627</v>
      </c>
      <c r="H450" s="726">
        <f>+J441*G450+E450</f>
        <v>1780085.3704639992</v>
      </c>
      <c r="I450" s="733">
        <f>+J442*G450+E450</f>
        <v>1780085.3704639992</v>
      </c>
      <c r="J450" s="729">
        <f t="shared" si="42"/>
        <v>0</v>
      </c>
      <c r="K450" s="729"/>
      <c r="L450" s="734">
        <v>0</v>
      </c>
      <c r="M450" s="729">
        <f t="shared" si="43"/>
        <v>0</v>
      </c>
      <c r="N450" s="734">
        <v>0</v>
      </c>
      <c r="O450" s="729">
        <f t="shared" si="44"/>
        <v>0</v>
      </c>
      <c r="P450" s="729">
        <f t="shared" si="45"/>
        <v>0</v>
      </c>
      <c r="Q450" s="677"/>
    </row>
    <row r="451" spans="2:17">
      <c r="B451" s="334"/>
      <c r="C451" s="725">
        <f>IF(D440="","-",+C450+1)</f>
        <v>2020</v>
      </c>
      <c r="D451" s="676">
        <f t="shared" si="46"/>
        <v>13986180.889830507</v>
      </c>
      <c r="E451" s="732">
        <f t="shared" si="47"/>
        <v>257020.16949152542</v>
      </c>
      <c r="F451" s="732">
        <f t="shared" si="40"/>
        <v>13729160.720338982</v>
      </c>
      <c r="G451" s="676">
        <f t="shared" si="41"/>
        <v>13857670.805084744</v>
      </c>
      <c r="H451" s="726">
        <f>+J441*G451+E451</f>
        <v>1752351.2545130588</v>
      </c>
      <c r="I451" s="733">
        <f>+J442*G451+E451</f>
        <v>1752351.2545130588</v>
      </c>
      <c r="J451" s="729">
        <f t="shared" si="42"/>
        <v>0</v>
      </c>
      <c r="K451" s="729"/>
      <c r="L451" s="734">
        <v>0</v>
      </c>
      <c r="M451" s="729">
        <f t="shared" si="43"/>
        <v>0</v>
      </c>
      <c r="N451" s="734">
        <v>0</v>
      </c>
      <c r="O451" s="729">
        <f t="shared" si="44"/>
        <v>0</v>
      </c>
      <c r="P451" s="729">
        <f t="shared" si="45"/>
        <v>0</v>
      </c>
      <c r="Q451" s="677"/>
    </row>
    <row r="452" spans="2:17">
      <c r="B452" s="334"/>
      <c r="C452" s="725">
        <f>IF(D440="","-",+C451+1)</f>
        <v>2021</v>
      </c>
      <c r="D452" s="676">
        <f t="shared" si="46"/>
        <v>13729160.720338982</v>
      </c>
      <c r="E452" s="732">
        <f t="shared" si="47"/>
        <v>257020.16949152542</v>
      </c>
      <c r="F452" s="732">
        <f t="shared" si="40"/>
        <v>13472140.550847456</v>
      </c>
      <c r="G452" s="676">
        <f t="shared" si="41"/>
        <v>13600650.635593219</v>
      </c>
      <c r="H452" s="726">
        <f>+J441*G452+E452</f>
        <v>1724617.1385621184</v>
      </c>
      <c r="I452" s="733">
        <f>+J442*G452+E452</f>
        <v>1724617.1385621184</v>
      </c>
      <c r="J452" s="729">
        <f t="shared" si="42"/>
        <v>0</v>
      </c>
      <c r="K452" s="729"/>
      <c r="L452" s="734">
        <v>0</v>
      </c>
      <c r="M452" s="729">
        <f t="shared" si="43"/>
        <v>0</v>
      </c>
      <c r="N452" s="734">
        <v>0</v>
      </c>
      <c r="O452" s="729">
        <f t="shared" si="44"/>
        <v>0</v>
      </c>
      <c r="P452" s="729">
        <f t="shared" si="45"/>
        <v>0</v>
      </c>
      <c r="Q452" s="677"/>
    </row>
    <row r="453" spans="2:17">
      <c r="B453" s="334"/>
      <c r="C453" s="725">
        <f>IF(D440="","-",+C452+1)</f>
        <v>2022</v>
      </c>
      <c r="D453" s="676">
        <f t="shared" si="46"/>
        <v>13472140.550847456</v>
      </c>
      <c r="E453" s="732">
        <f t="shared" si="47"/>
        <v>257020.16949152542</v>
      </c>
      <c r="F453" s="732">
        <f t="shared" si="40"/>
        <v>13215120.38135593</v>
      </c>
      <c r="G453" s="676">
        <f t="shared" si="41"/>
        <v>13343630.466101693</v>
      </c>
      <c r="H453" s="726">
        <f>+J441*G453+E453</f>
        <v>1696883.022611178</v>
      </c>
      <c r="I453" s="733">
        <f>+J442*G453+E453</f>
        <v>1696883.022611178</v>
      </c>
      <c r="J453" s="729">
        <f t="shared" si="42"/>
        <v>0</v>
      </c>
      <c r="K453" s="729"/>
      <c r="L453" s="734">
        <v>0</v>
      </c>
      <c r="M453" s="729">
        <f t="shared" si="43"/>
        <v>0</v>
      </c>
      <c r="N453" s="734">
        <v>0</v>
      </c>
      <c r="O453" s="729">
        <f t="shared" si="44"/>
        <v>0</v>
      </c>
      <c r="P453" s="729">
        <f t="shared" si="45"/>
        <v>0</v>
      </c>
      <c r="Q453" s="677"/>
    </row>
    <row r="454" spans="2:17">
      <c r="B454" s="334"/>
      <c r="C454" s="725">
        <f>IF(D440="","-",+C453+1)</f>
        <v>2023</v>
      </c>
      <c r="D454" s="676">
        <f t="shared" si="46"/>
        <v>13215120.38135593</v>
      </c>
      <c r="E454" s="732">
        <f t="shared" si="47"/>
        <v>257020.16949152542</v>
      </c>
      <c r="F454" s="732">
        <f t="shared" si="40"/>
        <v>12958100.211864404</v>
      </c>
      <c r="G454" s="676">
        <f t="shared" si="41"/>
        <v>13086610.296610167</v>
      </c>
      <c r="H454" s="726">
        <f>+J441*G454+E454</f>
        <v>1669148.9066602376</v>
      </c>
      <c r="I454" s="733">
        <f>+J442*G454+E454</f>
        <v>1669148.9066602376</v>
      </c>
      <c r="J454" s="729">
        <f t="shared" si="42"/>
        <v>0</v>
      </c>
      <c r="K454" s="729"/>
      <c r="L454" s="734">
        <v>0</v>
      </c>
      <c r="M454" s="729">
        <f t="shared" si="43"/>
        <v>0</v>
      </c>
      <c r="N454" s="734">
        <v>0</v>
      </c>
      <c r="O454" s="729">
        <f t="shared" si="44"/>
        <v>0</v>
      </c>
      <c r="P454" s="729">
        <f t="shared" si="45"/>
        <v>0</v>
      </c>
      <c r="Q454" s="677"/>
    </row>
    <row r="455" spans="2:17">
      <c r="B455" s="334"/>
      <c r="C455" s="725">
        <f>IF(D440="","-",+C454+1)</f>
        <v>2024</v>
      </c>
      <c r="D455" s="676">
        <f t="shared" si="46"/>
        <v>12958100.211864404</v>
      </c>
      <c r="E455" s="732">
        <f t="shared" si="47"/>
        <v>257020.16949152542</v>
      </c>
      <c r="F455" s="732">
        <f t="shared" si="40"/>
        <v>12701080.042372879</v>
      </c>
      <c r="G455" s="676">
        <f t="shared" si="41"/>
        <v>12829590.127118642</v>
      </c>
      <c r="H455" s="726">
        <f>+J441*G455+E455</f>
        <v>1641414.7907092972</v>
      </c>
      <c r="I455" s="733">
        <f>+J442*G455+E455</f>
        <v>1641414.7907092972</v>
      </c>
      <c r="J455" s="729">
        <f t="shared" si="42"/>
        <v>0</v>
      </c>
      <c r="K455" s="729"/>
      <c r="L455" s="734">
        <v>0</v>
      </c>
      <c r="M455" s="729">
        <f t="shared" si="43"/>
        <v>0</v>
      </c>
      <c r="N455" s="734">
        <v>0</v>
      </c>
      <c r="O455" s="729">
        <f t="shared" si="44"/>
        <v>0</v>
      </c>
      <c r="P455" s="729">
        <f t="shared" si="45"/>
        <v>0</v>
      </c>
      <c r="Q455" s="677"/>
    </row>
    <row r="456" spans="2:17">
      <c r="B456" s="334"/>
      <c r="C456" s="725">
        <f>IF(D440="","-",+C455+1)</f>
        <v>2025</v>
      </c>
      <c r="D456" s="676">
        <f t="shared" si="46"/>
        <v>12701080.042372879</v>
      </c>
      <c r="E456" s="732">
        <f t="shared" si="47"/>
        <v>257020.16949152542</v>
      </c>
      <c r="F456" s="732">
        <f t="shared" si="40"/>
        <v>12444059.872881353</v>
      </c>
      <c r="G456" s="676">
        <f t="shared" si="41"/>
        <v>12572569.957627116</v>
      </c>
      <c r="H456" s="726">
        <f>+J441*G456+E456</f>
        <v>1613680.674758357</v>
      </c>
      <c r="I456" s="733">
        <f>+J442*G456+E456</f>
        <v>1613680.674758357</v>
      </c>
      <c r="J456" s="729">
        <f t="shared" si="42"/>
        <v>0</v>
      </c>
      <c r="K456" s="729"/>
      <c r="L456" s="734">
        <v>0</v>
      </c>
      <c r="M456" s="729">
        <f t="shared" si="43"/>
        <v>0</v>
      </c>
      <c r="N456" s="734">
        <v>0</v>
      </c>
      <c r="O456" s="729">
        <f t="shared" si="44"/>
        <v>0</v>
      </c>
      <c r="P456" s="729">
        <f t="shared" si="45"/>
        <v>0</v>
      </c>
      <c r="Q456" s="677"/>
    </row>
    <row r="457" spans="2:17">
      <c r="B457" s="334"/>
      <c r="C457" s="725">
        <f>IF(D440="","-",+C456+1)</f>
        <v>2026</v>
      </c>
      <c r="D457" s="676">
        <f t="shared" si="46"/>
        <v>12444059.872881353</v>
      </c>
      <c r="E457" s="732">
        <f t="shared" si="47"/>
        <v>257020.16949152542</v>
      </c>
      <c r="F457" s="732">
        <f t="shared" si="40"/>
        <v>12187039.703389827</v>
      </c>
      <c r="G457" s="676">
        <f t="shared" si="41"/>
        <v>12315549.78813559</v>
      </c>
      <c r="H457" s="726">
        <f>+J441*G457+E457</f>
        <v>1585946.5588074166</v>
      </c>
      <c r="I457" s="733">
        <f>+J442*G457+E457</f>
        <v>1585946.5588074166</v>
      </c>
      <c r="J457" s="729">
        <f t="shared" si="42"/>
        <v>0</v>
      </c>
      <c r="K457" s="729"/>
      <c r="L457" s="734"/>
      <c r="M457" s="729">
        <f t="shared" si="43"/>
        <v>0</v>
      </c>
      <c r="N457" s="734"/>
      <c r="O457" s="729">
        <f t="shared" si="44"/>
        <v>0</v>
      </c>
      <c r="P457" s="729">
        <f t="shared" si="45"/>
        <v>0</v>
      </c>
      <c r="Q457" s="677"/>
    </row>
    <row r="458" spans="2:17">
      <c r="B458" s="334"/>
      <c r="C458" s="725">
        <f>IF(D440="","-",+C457+1)</f>
        <v>2027</v>
      </c>
      <c r="D458" s="676">
        <f t="shared" si="46"/>
        <v>12187039.703389827</v>
      </c>
      <c r="E458" s="732">
        <f t="shared" si="47"/>
        <v>257020.16949152542</v>
      </c>
      <c r="F458" s="732">
        <f t="shared" si="40"/>
        <v>11930019.533898301</v>
      </c>
      <c r="G458" s="676">
        <f t="shared" si="41"/>
        <v>12058529.618644064</v>
      </c>
      <c r="H458" s="726">
        <f>+J441*G458+E458</f>
        <v>1558212.4428564762</v>
      </c>
      <c r="I458" s="733">
        <f>+J442*G458+E458</f>
        <v>1558212.4428564762</v>
      </c>
      <c r="J458" s="729">
        <f t="shared" si="42"/>
        <v>0</v>
      </c>
      <c r="K458" s="729"/>
      <c r="L458" s="734"/>
      <c r="M458" s="729">
        <f t="shared" si="43"/>
        <v>0</v>
      </c>
      <c r="N458" s="734"/>
      <c r="O458" s="729">
        <f t="shared" si="44"/>
        <v>0</v>
      </c>
      <c r="P458" s="729">
        <f t="shared" si="45"/>
        <v>0</v>
      </c>
      <c r="Q458" s="677"/>
    </row>
    <row r="459" spans="2:17">
      <c r="B459" s="334"/>
      <c r="C459" s="725">
        <f>IF(D440="","-",+C458+1)</f>
        <v>2028</v>
      </c>
      <c r="D459" s="676">
        <f t="shared" si="46"/>
        <v>11930019.533898301</v>
      </c>
      <c r="E459" s="732">
        <f t="shared" si="47"/>
        <v>257020.16949152542</v>
      </c>
      <c r="F459" s="732">
        <f t="shared" si="40"/>
        <v>11672999.364406776</v>
      </c>
      <c r="G459" s="676">
        <f t="shared" si="41"/>
        <v>11801509.449152539</v>
      </c>
      <c r="H459" s="726">
        <f>+J441*G459+E459</f>
        <v>1530478.3269055358</v>
      </c>
      <c r="I459" s="733">
        <f>+J442*G459+E459</f>
        <v>1530478.3269055358</v>
      </c>
      <c r="J459" s="729">
        <f t="shared" si="42"/>
        <v>0</v>
      </c>
      <c r="K459" s="729"/>
      <c r="L459" s="734"/>
      <c r="M459" s="729">
        <f t="shared" si="43"/>
        <v>0</v>
      </c>
      <c r="N459" s="734"/>
      <c r="O459" s="729">
        <f t="shared" si="44"/>
        <v>0</v>
      </c>
      <c r="P459" s="729">
        <f t="shared" si="45"/>
        <v>0</v>
      </c>
      <c r="Q459" s="677"/>
    </row>
    <row r="460" spans="2:17">
      <c r="B460" s="334"/>
      <c r="C460" s="725">
        <f>IF(D440="","-",+C459+1)</f>
        <v>2029</v>
      </c>
      <c r="D460" s="676">
        <f t="shared" si="46"/>
        <v>11672999.364406776</v>
      </c>
      <c r="E460" s="732">
        <f t="shared" si="47"/>
        <v>257020.16949152542</v>
      </c>
      <c r="F460" s="732">
        <f t="shared" si="40"/>
        <v>11415979.19491525</v>
      </c>
      <c r="G460" s="676">
        <f t="shared" si="41"/>
        <v>11544489.279661013</v>
      </c>
      <c r="H460" s="726">
        <f>+J441*G460+E460</f>
        <v>1502744.2109545954</v>
      </c>
      <c r="I460" s="733">
        <f>+J442*G460+E460</f>
        <v>1502744.2109545954</v>
      </c>
      <c r="J460" s="729">
        <f t="shared" si="42"/>
        <v>0</v>
      </c>
      <c r="K460" s="729"/>
      <c r="L460" s="734"/>
      <c r="M460" s="729">
        <f t="shared" si="43"/>
        <v>0</v>
      </c>
      <c r="N460" s="734"/>
      <c r="O460" s="729">
        <f t="shared" si="44"/>
        <v>0</v>
      </c>
      <c r="P460" s="729">
        <f t="shared" si="45"/>
        <v>0</v>
      </c>
      <c r="Q460" s="677"/>
    </row>
    <row r="461" spans="2:17">
      <c r="B461" s="334"/>
      <c r="C461" s="725">
        <f>IF(D440="","-",+C460+1)</f>
        <v>2030</v>
      </c>
      <c r="D461" s="676">
        <f t="shared" si="46"/>
        <v>11415979.19491525</v>
      </c>
      <c r="E461" s="732">
        <f t="shared" si="47"/>
        <v>257020.16949152542</v>
      </c>
      <c r="F461" s="732">
        <f t="shared" si="40"/>
        <v>11158959.025423724</v>
      </c>
      <c r="G461" s="676">
        <f t="shared" si="41"/>
        <v>11287469.110169487</v>
      </c>
      <c r="H461" s="726">
        <f>+J441*G461+E461</f>
        <v>1475010.0950036549</v>
      </c>
      <c r="I461" s="733">
        <f>+J442*G461+E461</f>
        <v>1475010.0950036549</v>
      </c>
      <c r="J461" s="729">
        <f t="shared" si="42"/>
        <v>0</v>
      </c>
      <c r="K461" s="729"/>
      <c r="L461" s="734"/>
      <c r="M461" s="729">
        <f t="shared" si="43"/>
        <v>0</v>
      </c>
      <c r="N461" s="734"/>
      <c r="O461" s="729">
        <f t="shared" si="44"/>
        <v>0</v>
      </c>
      <c r="P461" s="729">
        <f t="shared" si="45"/>
        <v>0</v>
      </c>
      <c r="Q461" s="677"/>
    </row>
    <row r="462" spans="2:17">
      <c r="B462" s="334"/>
      <c r="C462" s="725">
        <f>IF(D440="","-",+C461+1)</f>
        <v>2031</v>
      </c>
      <c r="D462" s="676">
        <f t="shared" si="46"/>
        <v>11158959.025423724</v>
      </c>
      <c r="E462" s="732">
        <f t="shared" si="47"/>
        <v>257020.16949152542</v>
      </c>
      <c r="F462" s="732">
        <f t="shared" si="40"/>
        <v>10901938.855932198</v>
      </c>
      <c r="G462" s="676">
        <f t="shared" si="41"/>
        <v>11030448.940677961</v>
      </c>
      <c r="H462" s="726">
        <f>+J441*G462+E462</f>
        <v>1447275.9790527148</v>
      </c>
      <c r="I462" s="733">
        <f>+J442*G462+E462</f>
        <v>1447275.9790527148</v>
      </c>
      <c r="J462" s="729">
        <f t="shared" si="42"/>
        <v>0</v>
      </c>
      <c r="K462" s="729"/>
      <c r="L462" s="734"/>
      <c r="M462" s="729">
        <f t="shared" si="43"/>
        <v>0</v>
      </c>
      <c r="N462" s="734"/>
      <c r="O462" s="729">
        <f t="shared" si="44"/>
        <v>0</v>
      </c>
      <c r="P462" s="729">
        <f t="shared" si="45"/>
        <v>0</v>
      </c>
      <c r="Q462" s="677"/>
    </row>
    <row r="463" spans="2:17">
      <c r="B463" s="334"/>
      <c r="C463" s="725">
        <f>IF(D440="","-",+C462+1)</f>
        <v>2032</v>
      </c>
      <c r="D463" s="676">
        <f t="shared" si="46"/>
        <v>10901938.855932198</v>
      </c>
      <c r="E463" s="732">
        <f t="shared" si="47"/>
        <v>257020.16949152542</v>
      </c>
      <c r="F463" s="732">
        <f t="shared" si="40"/>
        <v>10644918.686440673</v>
      </c>
      <c r="G463" s="676">
        <f t="shared" si="41"/>
        <v>10773428.771186436</v>
      </c>
      <c r="H463" s="726">
        <f>+J441*G463+E463</f>
        <v>1419541.8631017744</v>
      </c>
      <c r="I463" s="733">
        <f>+J442*G463+E463</f>
        <v>1419541.8631017744</v>
      </c>
      <c r="J463" s="729">
        <f t="shared" si="42"/>
        <v>0</v>
      </c>
      <c r="K463" s="729"/>
      <c r="L463" s="734"/>
      <c r="M463" s="729">
        <f t="shared" si="43"/>
        <v>0</v>
      </c>
      <c r="N463" s="734"/>
      <c r="O463" s="729">
        <f t="shared" si="44"/>
        <v>0</v>
      </c>
      <c r="P463" s="729">
        <f t="shared" si="45"/>
        <v>0</v>
      </c>
      <c r="Q463" s="677"/>
    </row>
    <row r="464" spans="2:17">
      <c r="B464" s="334"/>
      <c r="C464" s="725">
        <f>IF(D440="","-",+C463+1)</f>
        <v>2033</v>
      </c>
      <c r="D464" s="676">
        <f t="shared" si="46"/>
        <v>10644918.686440673</v>
      </c>
      <c r="E464" s="732">
        <f t="shared" si="47"/>
        <v>257020.16949152542</v>
      </c>
      <c r="F464" s="732">
        <f t="shared" si="40"/>
        <v>10387898.516949147</v>
      </c>
      <c r="G464" s="676">
        <f t="shared" si="41"/>
        <v>10516408.60169491</v>
      </c>
      <c r="H464" s="726">
        <f>+J441*G464+E464</f>
        <v>1391807.747150834</v>
      </c>
      <c r="I464" s="733">
        <f>+J442*G464+E464</f>
        <v>1391807.747150834</v>
      </c>
      <c r="J464" s="729">
        <f t="shared" si="42"/>
        <v>0</v>
      </c>
      <c r="K464" s="729"/>
      <c r="L464" s="734"/>
      <c r="M464" s="729">
        <f t="shared" si="43"/>
        <v>0</v>
      </c>
      <c r="N464" s="734"/>
      <c r="O464" s="729">
        <f t="shared" si="44"/>
        <v>0</v>
      </c>
      <c r="P464" s="729">
        <f t="shared" si="45"/>
        <v>0</v>
      </c>
      <c r="Q464" s="677"/>
    </row>
    <row r="465" spans="2:17">
      <c r="B465" s="334"/>
      <c r="C465" s="725">
        <f>IF(D440="","-",+C464+1)</f>
        <v>2034</v>
      </c>
      <c r="D465" s="676">
        <f t="shared" si="46"/>
        <v>10387898.516949147</v>
      </c>
      <c r="E465" s="732">
        <f t="shared" si="47"/>
        <v>257020.16949152542</v>
      </c>
      <c r="F465" s="732">
        <f t="shared" si="40"/>
        <v>10130878.347457621</v>
      </c>
      <c r="G465" s="676">
        <f t="shared" si="41"/>
        <v>10259388.432203384</v>
      </c>
      <c r="H465" s="726">
        <f>+J441*G465+E465</f>
        <v>1364073.6311998935</v>
      </c>
      <c r="I465" s="733">
        <f>+J442*G465+E465</f>
        <v>1364073.6311998935</v>
      </c>
      <c r="J465" s="729">
        <f t="shared" si="42"/>
        <v>0</v>
      </c>
      <c r="K465" s="729"/>
      <c r="L465" s="734"/>
      <c r="M465" s="729">
        <f t="shared" si="43"/>
        <v>0</v>
      </c>
      <c r="N465" s="734"/>
      <c r="O465" s="729">
        <f t="shared" si="44"/>
        <v>0</v>
      </c>
      <c r="P465" s="729">
        <f t="shared" si="45"/>
        <v>0</v>
      </c>
      <c r="Q465" s="677"/>
    </row>
    <row r="466" spans="2:17">
      <c r="B466" s="334"/>
      <c r="C466" s="725">
        <f>IF(D440="","-",+C465+1)</f>
        <v>2035</v>
      </c>
      <c r="D466" s="676">
        <f t="shared" si="46"/>
        <v>10130878.347457621</v>
      </c>
      <c r="E466" s="732">
        <f t="shared" si="47"/>
        <v>257020.16949152542</v>
      </c>
      <c r="F466" s="732">
        <f t="shared" si="40"/>
        <v>9873858.1779660955</v>
      </c>
      <c r="G466" s="676">
        <f t="shared" si="41"/>
        <v>10002368.262711858</v>
      </c>
      <c r="H466" s="726">
        <f>+J441*G466+E466</f>
        <v>1336339.5152489531</v>
      </c>
      <c r="I466" s="733">
        <f>+J442*G466+E466</f>
        <v>1336339.5152489531</v>
      </c>
      <c r="J466" s="729">
        <f t="shared" si="42"/>
        <v>0</v>
      </c>
      <c r="K466" s="729"/>
      <c r="L466" s="734"/>
      <c r="M466" s="729">
        <f t="shared" si="43"/>
        <v>0</v>
      </c>
      <c r="N466" s="734"/>
      <c r="O466" s="729">
        <f t="shared" si="44"/>
        <v>0</v>
      </c>
      <c r="P466" s="729">
        <f t="shared" si="45"/>
        <v>0</v>
      </c>
      <c r="Q466" s="677"/>
    </row>
    <row r="467" spans="2:17">
      <c r="B467" s="334"/>
      <c r="C467" s="725">
        <f>IF(D440="","-",+C466+1)</f>
        <v>2036</v>
      </c>
      <c r="D467" s="676">
        <f t="shared" si="46"/>
        <v>9873858.1779660955</v>
      </c>
      <c r="E467" s="732">
        <f t="shared" si="47"/>
        <v>257020.16949152542</v>
      </c>
      <c r="F467" s="732">
        <f t="shared" si="40"/>
        <v>9616838.0084745698</v>
      </c>
      <c r="G467" s="676">
        <f t="shared" si="41"/>
        <v>9745348.0932203326</v>
      </c>
      <c r="H467" s="726">
        <f>+J441*G467+E467</f>
        <v>1308605.3992980127</v>
      </c>
      <c r="I467" s="733">
        <f>+J442*G467+E467</f>
        <v>1308605.3992980127</v>
      </c>
      <c r="J467" s="729">
        <f t="shared" si="42"/>
        <v>0</v>
      </c>
      <c r="K467" s="729"/>
      <c r="L467" s="734"/>
      <c r="M467" s="729">
        <f t="shared" si="43"/>
        <v>0</v>
      </c>
      <c r="N467" s="734"/>
      <c r="O467" s="729">
        <f t="shared" si="44"/>
        <v>0</v>
      </c>
      <c r="P467" s="729">
        <f t="shared" si="45"/>
        <v>0</v>
      </c>
      <c r="Q467" s="677"/>
    </row>
    <row r="468" spans="2:17">
      <c r="B468" s="334"/>
      <c r="C468" s="725">
        <f>IF(D440="","-",+C467+1)</f>
        <v>2037</v>
      </c>
      <c r="D468" s="676">
        <f t="shared" si="46"/>
        <v>9616838.0084745698</v>
      </c>
      <c r="E468" s="732">
        <f t="shared" si="47"/>
        <v>257020.16949152542</v>
      </c>
      <c r="F468" s="732">
        <f t="shared" si="40"/>
        <v>9359817.838983044</v>
      </c>
      <c r="G468" s="676">
        <f t="shared" si="41"/>
        <v>9488327.9237288069</v>
      </c>
      <c r="H468" s="726">
        <f>+J441*G468+E468</f>
        <v>1280871.2833470723</v>
      </c>
      <c r="I468" s="733">
        <f>+J442*G468+E468</f>
        <v>1280871.2833470723</v>
      </c>
      <c r="J468" s="729">
        <f t="shared" si="42"/>
        <v>0</v>
      </c>
      <c r="K468" s="729"/>
      <c r="L468" s="734"/>
      <c r="M468" s="729">
        <f t="shared" si="43"/>
        <v>0</v>
      </c>
      <c r="N468" s="734"/>
      <c r="O468" s="729">
        <f t="shared" si="44"/>
        <v>0</v>
      </c>
      <c r="P468" s="729">
        <f t="shared" si="45"/>
        <v>0</v>
      </c>
      <c r="Q468" s="677"/>
    </row>
    <row r="469" spans="2:17">
      <c r="B469" s="334"/>
      <c r="C469" s="725">
        <f>IF(D440="","-",+C468+1)</f>
        <v>2038</v>
      </c>
      <c r="D469" s="676">
        <f t="shared" si="46"/>
        <v>9359817.838983044</v>
      </c>
      <c r="E469" s="732">
        <f t="shared" si="47"/>
        <v>257020.16949152542</v>
      </c>
      <c r="F469" s="732">
        <f t="shared" si="40"/>
        <v>9102797.6694915183</v>
      </c>
      <c r="G469" s="676">
        <f t="shared" si="41"/>
        <v>9231307.7542372812</v>
      </c>
      <c r="H469" s="726">
        <f>+J441*G469+E469</f>
        <v>1253137.1673961319</v>
      </c>
      <c r="I469" s="733">
        <f>+J442*G469+E469</f>
        <v>1253137.1673961319</v>
      </c>
      <c r="J469" s="729">
        <f t="shared" si="42"/>
        <v>0</v>
      </c>
      <c r="K469" s="729"/>
      <c r="L469" s="734"/>
      <c r="M469" s="729">
        <f t="shared" si="43"/>
        <v>0</v>
      </c>
      <c r="N469" s="734"/>
      <c r="O469" s="729">
        <f t="shared" si="44"/>
        <v>0</v>
      </c>
      <c r="P469" s="729">
        <f t="shared" si="45"/>
        <v>0</v>
      </c>
      <c r="Q469" s="677"/>
    </row>
    <row r="470" spans="2:17">
      <c r="B470" s="334"/>
      <c r="C470" s="725">
        <f>IF(D440="","-",+C469+1)</f>
        <v>2039</v>
      </c>
      <c r="D470" s="676">
        <f t="shared" si="46"/>
        <v>9102797.6694915183</v>
      </c>
      <c r="E470" s="732">
        <f t="shared" si="47"/>
        <v>257020.16949152542</v>
      </c>
      <c r="F470" s="732">
        <f t="shared" si="40"/>
        <v>8845777.4999999925</v>
      </c>
      <c r="G470" s="676">
        <f t="shared" si="41"/>
        <v>8974287.5847457554</v>
      </c>
      <c r="H470" s="726">
        <f>+J441*G470+E470</f>
        <v>1225403.0514451915</v>
      </c>
      <c r="I470" s="733">
        <f>+J442*G470+E470</f>
        <v>1225403.0514451915</v>
      </c>
      <c r="J470" s="729">
        <f t="shared" si="42"/>
        <v>0</v>
      </c>
      <c r="K470" s="729"/>
      <c r="L470" s="734"/>
      <c r="M470" s="729">
        <f t="shared" si="43"/>
        <v>0</v>
      </c>
      <c r="N470" s="734"/>
      <c r="O470" s="729">
        <f t="shared" si="44"/>
        <v>0</v>
      </c>
      <c r="P470" s="729">
        <f t="shared" si="45"/>
        <v>0</v>
      </c>
      <c r="Q470" s="677"/>
    </row>
    <row r="471" spans="2:17">
      <c r="B471" s="334"/>
      <c r="C471" s="725">
        <f>IF(D440="","-",+C470+1)</f>
        <v>2040</v>
      </c>
      <c r="D471" s="676">
        <f t="shared" si="46"/>
        <v>8845777.4999999925</v>
      </c>
      <c r="E471" s="732">
        <f t="shared" si="47"/>
        <v>257020.16949152542</v>
      </c>
      <c r="F471" s="732">
        <f t="shared" si="40"/>
        <v>8588757.3305084668</v>
      </c>
      <c r="G471" s="676">
        <f t="shared" si="41"/>
        <v>8717267.4152542297</v>
      </c>
      <c r="H471" s="726">
        <f>+J441*G471+E471</f>
        <v>1197668.9354942513</v>
      </c>
      <c r="I471" s="733">
        <f>+J442*G471+E471</f>
        <v>1197668.9354942513</v>
      </c>
      <c r="J471" s="729">
        <f t="shared" si="42"/>
        <v>0</v>
      </c>
      <c r="K471" s="729"/>
      <c r="L471" s="734"/>
      <c r="M471" s="729">
        <f t="shared" si="43"/>
        <v>0</v>
      </c>
      <c r="N471" s="734"/>
      <c r="O471" s="729">
        <f t="shared" si="44"/>
        <v>0</v>
      </c>
      <c r="P471" s="729">
        <f t="shared" si="45"/>
        <v>0</v>
      </c>
      <c r="Q471" s="677"/>
    </row>
    <row r="472" spans="2:17">
      <c r="B472" s="334"/>
      <c r="C472" s="725">
        <f>IF(D440="","-",+C471+1)</f>
        <v>2041</v>
      </c>
      <c r="D472" s="676">
        <f t="shared" si="46"/>
        <v>8588757.3305084668</v>
      </c>
      <c r="E472" s="732">
        <f t="shared" si="47"/>
        <v>257020.16949152542</v>
      </c>
      <c r="F472" s="732">
        <f t="shared" si="40"/>
        <v>8331737.1610169411</v>
      </c>
      <c r="G472" s="676">
        <f t="shared" si="41"/>
        <v>8460247.2457627039</v>
      </c>
      <c r="H472" s="726">
        <f>+J441*G472+E472</f>
        <v>1169934.8195433109</v>
      </c>
      <c r="I472" s="733">
        <f>+J442*G472+E472</f>
        <v>1169934.8195433109</v>
      </c>
      <c r="J472" s="729">
        <f t="shared" si="42"/>
        <v>0</v>
      </c>
      <c r="K472" s="729"/>
      <c r="L472" s="734"/>
      <c r="M472" s="729">
        <f t="shared" si="43"/>
        <v>0</v>
      </c>
      <c r="N472" s="734"/>
      <c r="O472" s="729">
        <f t="shared" si="44"/>
        <v>0</v>
      </c>
      <c r="P472" s="729">
        <f t="shared" si="45"/>
        <v>0</v>
      </c>
      <c r="Q472" s="677"/>
    </row>
    <row r="473" spans="2:17">
      <c r="B473" s="334"/>
      <c r="C473" s="725">
        <f>IF(D440="","-",+C472+1)</f>
        <v>2042</v>
      </c>
      <c r="D473" s="676">
        <f t="shared" si="46"/>
        <v>8331737.1610169411</v>
      </c>
      <c r="E473" s="732">
        <f t="shared" si="47"/>
        <v>257020.16949152542</v>
      </c>
      <c r="F473" s="732">
        <f t="shared" si="40"/>
        <v>8074716.9915254153</v>
      </c>
      <c r="G473" s="676">
        <f t="shared" si="41"/>
        <v>8203227.0762711782</v>
      </c>
      <c r="H473" s="726">
        <f>+J441*G473+E473</f>
        <v>1142200.7035923705</v>
      </c>
      <c r="I473" s="733">
        <f>+J442*G473+E473</f>
        <v>1142200.7035923705</v>
      </c>
      <c r="J473" s="729">
        <f t="shared" si="42"/>
        <v>0</v>
      </c>
      <c r="K473" s="729"/>
      <c r="L473" s="734"/>
      <c r="M473" s="729">
        <f t="shared" si="43"/>
        <v>0</v>
      </c>
      <c r="N473" s="734"/>
      <c r="O473" s="729">
        <f t="shared" si="44"/>
        <v>0</v>
      </c>
      <c r="P473" s="729">
        <f t="shared" si="45"/>
        <v>0</v>
      </c>
      <c r="Q473" s="677"/>
    </row>
    <row r="474" spans="2:17">
      <c r="B474" s="334"/>
      <c r="C474" s="725">
        <f>IF(D440="","-",+C473+1)</f>
        <v>2043</v>
      </c>
      <c r="D474" s="676">
        <f t="shared" si="46"/>
        <v>8074716.9915254153</v>
      </c>
      <c r="E474" s="732">
        <f t="shared" si="47"/>
        <v>257020.16949152542</v>
      </c>
      <c r="F474" s="732">
        <f t="shared" si="40"/>
        <v>7817696.8220338896</v>
      </c>
      <c r="G474" s="676">
        <f t="shared" si="41"/>
        <v>7946206.9067796525</v>
      </c>
      <c r="H474" s="726">
        <f>+J441*G474+E474</f>
        <v>1114466.5876414301</v>
      </c>
      <c r="I474" s="733">
        <f>+J442*G474+E474</f>
        <v>1114466.5876414301</v>
      </c>
      <c r="J474" s="729">
        <f t="shared" si="42"/>
        <v>0</v>
      </c>
      <c r="K474" s="729"/>
      <c r="L474" s="734"/>
      <c r="M474" s="729">
        <f t="shared" si="43"/>
        <v>0</v>
      </c>
      <c r="N474" s="734"/>
      <c r="O474" s="729">
        <f t="shared" si="44"/>
        <v>0</v>
      </c>
      <c r="P474" s="729">
        <f t="shared" si="45"/>
        <v>0</v>
      </c>
      <c r="Q474" s="677"/>
    </row>
    <row r="475" spans="2:17">
      <c r="B475" s="334"/>
      <c r="C475" s="725">
        <f>IF(D440="","-",+C474+1)</f>
        <v>2044</v>
      </c>
      <c r="D475" s="676">
        <f t="shared" si="46"/>
        <v>7817696.8220338896</v>
      </c>
      <c r="E475" s="732">
        <f t="shared" si="47"/>
        <v>257020.16949152542</v>
      </c>
      <c r="F475" s="732">
        <f t="shared" si="40"/>
        <v>7560676.6525423639</v>
      </c>
      <c r="G475" s="676">
        <f t="shared" si="41"/>
        <v>7689186.7372881267</v>
      </c>
      <c r="H475" s="726">
        <f>+J441*G475+E475</f>
        <v>1086732.4716904897</v>
      </c>
      <c r="I475" s="733">
        <f>+J442*G475+E475</f>
        <v>1086732.4716904897</v>
      </c>
      <c r="J475" s="729">
        <f t="shared" si="42"/>
        <v>0</v>
      </c>
      <c r="K475" s="729"/>
      <c r="L475" s="734"/>
      <c r="M475" s="729">
        <f t="shared" si="43"/>
        <v>0</v>
      </c>
      <c r="N475" s="734"/>
      <c r="O475" s="729">
        <f t="shared" si="44"/>
        <v>0</v>
      </c>
      <c r="P475" s="729">
        <f t="shared" si="45"/>
        <v>0</v>
      </c>
      <c r="Q475" s="677"/>
    </row>
    <row r="476" spans="2:17">
      <c r="B476" s="334"/>
      <c r="C476" s="725">
        <f>IF(D440="","-",+C475+1)</f>
        <v>2045</v>
      </c>
      <c r="D476" s="676">
        <f t="shared" si="46"/>
        <v>7560676.6525423639</v>
      </c>
      <c r="E476" s="732">
        <f t="shared" si="47"/>
        <v>257020.16949152542</v>
      </c>
      <c r="F476" s="732">
        <f t="shared" si="40"/>
        <v>7303656.4830508381</v>
      </c>
      <c r="G476" s="676">
        <f t="shared" si="41"/>
        <v>7432166.567796601</v>
      </c>
      <c r="H476" s="726">
        <f>+J441*G476+E476</f>
        <v>1058998.3557395493</v>
      </c>
      <c r="I476" s="733">
        <f>+J442*G476+E476</f>
        <v>1058998.3557395493</v>
      </c>
      <c r="J476" s="729">
        <f t="shared" si="42"/>
        <v>0</v>
      </c>
      <c r="K476" s="729"/>
      <c r="L476" s="734"/>
      <c r="M476" s="729">
        <f t="shared" si="43"/>
        <v>0</v>
      </c>
      <c r="N476" s="734"/>
      <c r="O476" s="729">
        <f t="shared" si="44"/>
        <v>0</v>
      </c>
      <c r="P476" s="729">
        <f t="shared" si="45"/>
        <v>0</v>
      </c>
      <c r="Q476" s="677"/>
    </row>
    <row r="477" spans="2:17">
      <c r="B477" s="334"/>
      <c r="C477" s="725">
        <f>IF(D440="","-",+C476+1)</f>
        <v>2046</v>
      </c>
      <c r="D477" s="676">
        <f t="shared" si="46"/>
        <v>7303656.4830508381</v>
      </c>
      <c r="E477" s="732">
        <f t="shared" si="47"/>
        <v>257020.16949152542</v>
      </c>
      <c r="F477" s="732">
        <f t="shared" si="40"/>
        <v>7046636.3135593124</v>
      </c>
      <c r="G477" s="676">
        <f t="shared" si="41"/>
        <v>7175146.3983050752</v>
      </c>
      <c r="H477" s="726">
        <f>+J441*G477+E477</f>
        <v>1031264.2397886089</v>
      </c>
      <c r="I477" s="733">
        <f>+J442*G477+E477</f>
        <v>1031264.2397886089</v>
      </c>
      <c r="J477" s="729">
        <f t="shared" si="42"/>
        <v>0</v>
      </c>
      <c r="K477" s="729"/>
      <c r="L477" s="734"/>
      <c r="M477" s="729">
        <f t="shared" si="43"/>
        <v>0</v>
      </c>
      <c r="N477" s="734"/>
      <c r="O477" s="729">
        <f t="shared" si="44"/>
        <v>0</v>
      </c>
      <c r="P477" s="729">
        <f t="shared" si="45"/>
        <v>0</v>
      </c>
      <c r="Q477" s="677"/>
    </row>
    <row r="478" spans="2:17">
      <c r="B478" s="334"/>
      <c r="C478" s="725">
        <f>IF(D440="","-",+C477+1)</f>
        <v>2047</v>
      </c>
      <c r="D478" s="676">
        <f t="shared" si="46"/>
        <v>7046636.3135593124</v>
      </c>
      <c r="E478" s="732">
        <f t="shared" si="47"/>
        <v>257020.16949152542</v>
      </c>
      <c r="F478" s="732">
        <f t="shared" si="40"/>
        <v>6789616.1440677866</v>
      </c>
      <c r="G478" s="676">
        <f t="shared" si="41"/>
        <v>6918126.2288135495</v>
      </c>
      <c r="H478" s="726">
        <f>+J441*G478+E478</f>
        <v>1003530.1238376686</v>
      </c>
      <c r="I478" s="733">
        <f>+J442*G478+E478</f>
        <v>1003530.1238376686</v>
      </c>
      <c r="J478" s="729">
        <f t="shared" si="42"/>
        <v>0</v>
      </c>
      <c r="K478" s="729"/>
      <c r="L478" s="734"/>
      <c r="M478" s="729">
        <f t="shared" si="43"/>
        <v>0</v>
      </c>
      <c r="N478" s="734"/>
      <c r="O478" s="729">
        <f t="shared" si="44"/>
        <v>0</v>
      </c>
      <c r="P478" s="729">
        <f t="shared" si="45"/>
        <v>0</v>
      </c>
      <c r="Q478" s="677"/>
    </row>
    <row r="479" spans="2:17">
      <c r="B479" s="334"/>
      <c r="C479" s="725">
        <f>IF(D440="","-",+C478+1)</f>
        <v>2048</v>
      </c>
      <c r="D479" s="676">
        <f t="shared" si="46"/>
        <v>6789616.1440677866</v>
      </c>
      <c r="E479" s="732">
        <f t="shared" si="47"/>
        <v>257020.16949152542</v>
      </c>
      <c r="F479" s="732">
        <f t="shared" si="40"/>
        <v>6532595.9745762609</v>
      </c>
      <c r="G479" s="676">
        <f t="shared" si="41"/>
        <v>6661106.0593220238</v>
      </c>
      <c r="H479" s="726">
        <f>+J441*G479+E479</f>
        <v>975796.00788672816</v>
      </c>
      <c r="I479" s="733">
        <f>+J442*G479+E479</f>
        <v>975796.00788672816</v>
      </c>
      <c r="J479" s="729">
        <f t="shared" si="42"/>
        <v>0</v>
      </c>
      <c r="K479" s="729"/>
      <c r="L479" s="734"/>
      <c r="M479" s="729">
        <f t="shared" si="43"/>
        <v>0</v>
      </c>
      <c r="N479" s="734"/>
      <c r="O479" s="729">
        <f t="shared" si="44"/>
        <v>0</v>
      </c>
      <c r="P479" s="729">
        <f t="shared" si="45"/>
        <v>0</v>
      </c>
      <c r="Q479" s="677"/>
    </row>
    <row r="480" spans="2:17">
      <c r="B480" s="334"/>
      <c r="C480" s="725">
        <f>IF(D440="","-",+C479+1)</f>
        <v>2049</v>
      </c>
      <c r="D480" s="676">
        <f t="shared" si="46"/>
        <v>6532595.9745762609</v>
      </c>
      <c r="E480" s="732">
        <f t="shared" si="47"/>
        <v>257020.16949152542</v>
      </c>
      <c r="F480" s="732">
        <f t="shared" si="40"/>
        <v>6275575.8050847352</v>
      </c>
      <c r="G480" s="676">
        <f t="shared" si="41"/>
        <v>6404085.889830498</v>
      </c>
      <c r="H480" s="726">
        <f>+J441*G480+E480</f>
        <v>948061.89193578775</v>
      </c>
      <c r="I480" s="733">
        <f>+J442*G480+E480</f>
        <v>948061.89193578775</v>
      </c>
      <c r="J480" s="729">
        <f t="shared" si="42"/>
        <v>0</v>
      </c>
      <c r="K480" s="729"/>
      <c r="L480" s="734"/>
      <c r="M480" s="729">
        <f t="shared" si="43"/>
        <v>0</v>
      </c>
      <c r="N480" s="734"/>
      <c r="O480" s="729">
        <f t="shared" si="44"/>
        <v>0</v>
      </c>
      <c r="P480" s="729">
        <f t="shared" si="45"/>
        <v>0</v>
      </c>
      <c r="Q480" s="677"/>
    </row>
    <row r="481" spans="2:17">
      <c r="B481" s="334"/>
      <c r="C481" s="725">
        <f>IF(D440="","-",+C480+1)</f>
        <v>2050</v>
      </c>
      <c r="D481" s="676">
        <f t="shared" si="46"/>
        <v>6275575.8050847352</v>
      </c>
      <c r="E481" s="732">
        <f t="shared" si="47"/>
        <v>257020.16949152542</v>
      </c>
      <c r="F481" s="732">
        <f t="shared" si="40"/>
        <v>6018555.6355932094</v>
      </c>
      <c r="G481" s="676">
        <f t="shared" si="41"/>
        <v>6147065.7203389723</v>
      </c>
      <c r="H481" s="726">
        <f>+J441*G481+E481</f>
        <v>920327.77598484745</v>
      </c>
      <c r="I481" s="733">
        <f>+J442*G481+E481</f>
        <v>920327.77598484745</v>
      </c>
      <c r="J481" s="729">
        <f t="shared" si="42"/>
        <v>0</v>
      </c>
      <c r="K481" s="729"/>
      <c r="L481" s="734"/>
      <c r="M481" s="729">
        <f t="shared" si="43"/>
        <v>0</v>
      </c>
      <c r="N481" s="734"/>
      <c r="O481" s="729">
        <f t="shared" si="44"/>
        <v>0</v>
      </c>
      <c r="P481" s="729">
        <f t="shared" si="45"/>
        <v>0</v>
      </c>
      <c r="Q481" s="677"/>
    </row>
    <row r="482" spans="2:17">
      <c r="B482" s="334"/>
      <c r="C482" s="725">
        <f>IF(D440="","-",+C481+1)</f>
        <v>2051</v>
      </c>
      <c r="D482" s="676">
        <f t="shared" si="46"/>
        <v>6018555.6355932094</v>
      </c>
      <c r="E482" s="732">
        <f t="shared" si="47"/>
        <v>257020.16949152542</v>
      </c>
      <c r="F482" s="732">
        <f t="shared" si="40"/>
        <v>5761535.4661016837</v>
      </c>
      <c r="G482" s="676">
        <f t="shared" si="41"/>
        <v>5890045.5508474465</v>
      </c>
      <c r="H482" s="726">
        <f>+J441*G482+E482</f>
        <v>892593.66003390704</v>
      </c>
      <c r="I482" s="733">
        <f>+J442*G482+E482</f>
        <v>892593.66003390704</v>
      </c>
      <c r="J482" s="729">
        <f t="shared" si="42"/>
        <v>0</v>
      </c>
      <c r="K482" s="729"/>
      <c r="L482" s="734"/>
      <c r="M482" s="729">
        <f t="shared" si="43"/>
        <v>0</v>
      </c>
      <c r="N482" s="734"/>
      <c r="O482" s="729">
        <f t="shared" si="44"/>
        <v>0</v>
      </c>
      <c r="P482" s="729">
        <f t="shared" si="45"/>
        <v>0</v>
      </c>
      <c r="Q482" s="677"/>
    </row>
    <row r="483" spans="2:17">
      <c r="B483" s="334"/>
      <c r="C483" s="725">
        <f>IF(D440="","-",+C482+1)</f>
        <v>2052</v>
      </c>
      <c r="D483" s="676">
        <f t="shared" si="46"/>
        <v>5761535.4661016837</v>
      </c>
      <c r="E483" s="732">
        <f t="shared" si="47"/>
        <v>257020.16949152542</v>
      </c>
      <c r="F483" s="732">
        <f t="shared" si="40"/>
        <v>5504515.2966101579</v>
      </c>
      <c r="G483" s="676">
        <f t="shared" si="41"/>
        <v>5633025.3813559208</v>
      </c>
      <c r="H483" s="726">
        <f>+J441*G483+E483</f>
        <v>864859.54408296663</v>
      </c>
      <c r="I483" s="733">
        <f>+J442*G483+E483</f>
        <v>864859.54408296663</v>
      </c>
      <c r="J483" s="729">
        <f t="shared" si="42"/>
        <v>0</v>
      </c>
      <c r="K483" s="729"/>
      <c r="L483" s="734"/>
      <c r="M483" s="729">
        <f t="shared" si="43"/>
        <v>0</v>
      </c>
      <c r="N483" s="734"/>
      <c r="O483" s="729">
        <f t="shared" si="44"/>
        <v>0</v>
      </c>
      <c r="P483" s="729">
        <f t="shared" si="45"/>
        <v>0</v>
      </c>
      <c r="Q483" s="677"/>
    </row>
    <row r="484" spans="2:17">
      <c r="B484" s="334"/>
      <c r="C484" s="725">
        <f>IF(D440="","-",+C483+1)</f>
        <v>2053</v>
      </c>
      <c r="D484" s="676">
        <f t="shared" si="46"/>
        <v>5504515.2966101579</v>
      </c>
      <c r="E484" s="732">
        <f t="shared" si="47"/>
        <v>257020.16949152542</v>
      </c>
      <c r="F484" s="732">
        <f t="shared" si="40"/>
        <v>5247495.1271186322</v>
      </c>
      <c r="G484" s="676">
        <f t="shared" si="41"/>
        <v>5376005.2118643951</v>
      </c>
      <c r="H484" s="726">
        <f>+J441*G484+E484</f>
        <v>837125.42813202622</v>
      </c>
      <c r="I484" s="733">
        <f>+J442*G484+E484</f>
        <v>837125.42813202622</v>
      </c>
      <c r="J484" s="729">
        <f t="shared" si="42"/>
        <v>0</v>
      </c>
      <c r="K484" s="729"/>
      <c r="L484" s="734"/>
      <c r="M484" s="729">
        <f t="shared" si="43"/>
        <v>0</v>
      </c>
      <c r="N484" s="734"/>
      <c r="O484" s="729">
        <f t="shared" si="44"/>
        <v>0</v>
      </c>
      <c r="P484" s="729">
        <f t="shared" si="45"/>
        <v>0</v>
      </c>
      <c r="Q484" s="677"/>
    </row>
    <row r="485" spans="2:17">
      <c r="B485" s="334"/>
      <c r="C485" s="725">
        <f>IF(D440="","-",+C484+1)</f>
        <v>2054</v>
      </c>
      <c r="D485" s="676">
        <f t="shared" si="46"/>
        <v>5247495.1271186322</v>
      </c>
      <c r="E485" s="732">
        <f t="shared" si="47"/>
        <v>257020.16949152542</v>
      </c>
      <c r="F485" s="732">
        <f t="shared" si="40"/>
        <v>4990474.9576271065</v>
      </c>
      <c r="G485" s="676">
        <f t="shared" si="41"/>
        <v>5118985.0423728693</v>
      </c>
      <c r="H485" s="726">
        <f>+J441*G485+E485</f>
        <v>809391.31218108593</v>
      </c>
      <c r="I485" s="733">
        <f>+J442*G485+E485</f>
        <v>809391.31218108593</v>
      </c>
      <c r="J485" s="729">
        <f t="shared" si="42"/>
        <v>0</v>
      </c>
      <c r="K485" s="729"/>
      <c r="L485" s="734"/>
      <c r="M485" s="729">
        <f t="shared" si="43"/>
        <v>0</v>
      </c>
      <c r="N485" s="734"/>
      <c r="O485" s="729">
        <f t="shared" si="44"/>
        <v>0</v>
      </c>
      <c r="P485" s="729">
        <f t="shared" si="45"/>
        <v>0</v>
      </c>
      <c r="Q485" s="677"/>
    </row>
    <row r="486" spans="2:17">
      <c r="B486" s="334"/>
      <c r="C486" s="725">
        <f>IF(D440="","-",+C485+1)</f>
        <v>2055</v>
      </c>
      <c r="D486" s="676">
        <f t="shared" si="46"/>
        <v>4990474.9576271065</v>
      </c>
      <c r="E486" s="732">
        <f t="shared" si="47"/>
        <v>257020.16949152542</v>
      </c>
      <c r="F486" s="732">
        <f t="shared" si="40"/>
        <v>4733454.7881355807</v>
      </c>
      <c r="G486" s="676">
        <f t="shared" si="41"/>
        <v>4861964.8728813436</v>
      </c>
      <c r="H486" s="726">
        <f>+J441*G486+E486</f>
        <v>781657.19623014552</v>
      </c>
      <c r="I486" s="733">
        <f>+J442*G486+E486</f>
        <v>781657.19623014552</v>
      </c>
      <c r="J486" s="729">
        <f t="shared" si="42"/>
        <v>0</v>
      </c>
      <c r="K486" s="729"/>
      <c r="L486" s="734"/>
      <c r="M486" s="729">
        <f t="shared" si="43"/>
        <v>0</v>
      </c>
      <c r="N486" s="734"/>
      <c r="O486" s="729">
        <f t="shared" si="44"/>
        <v>0</v>
      </c>
      <c r="P486" s="729">
        <f t="shared" si="45"/>
        <v>0</v>
      </c>
      <c r="Q486" s="677"/>
    </row>
    <row r="487" spans="2:17">
      <c r="B487" s="334"/>
      <c r="C487" s="725">
        <f>IF(D440="","-",+C486+1)</f>
        <v>2056</v>
      </c>
      <c r="D487" s="676">
        <f t="shared" si="46"/>
        <v>4733454.7881355807</v>
      </c>
      <c r="E487" s="732">
        <f t="shared" si="47"/>
        <v>257020.16949152542</v>
      </c>
      <c r="F487" s="732">
        <f t="shared" si="40"/>
        <v>4476434.618644055</v>
      </c>
      <c r="G487" s="676">
        <f t="shared" si="41"/>
        <v>4604944.7033898178</v>
      </c>
      <c r="H487" s="726">
        <f>+J441*G487+E487</f>
        <v>753923.08027920523</v>
      </c>
      <c r="I487" s="733">
        <f>+J442*G487+E487</f>
        <v>753923.08027920523</v>
      </c>
      <c r="J487" s="729">
        <f t="shared" si="42"/>
        <v>0</v>
      </c>
      <c r="K487" s="729"/>
      <c r="L487" s="734"/>
      <c r="M487" s="729">
        <f t="shared" si="43"/>
        <v>0</v>
      </c>
      <c r="N487" s="734"/>
      <c r="O487" s="729">
        <f t="shared" si="44"/>
        <v>0</v>
      </c>
      <c r="P487" s="729">
        <f t="shared" si="45"/>
        <v>0</v>
      </c>
      <c r="Q487" s="677"/>
    </row>
    <row r="488" spans="2:17">
      <c r="B488" s="334"/>
      <c r="C488" s="725">
        <f>IF(D440="","-",+C487+1)</f>
        <v>2057</v>
      </c>
      <c r="D488" s="676">
        <f t="shared" si="46"/>
        <v>4476434.618644055</v>
      </c>
      <c r="E488" s="732">
        <f t="shared" si="47"/>
        <v>257020.16949152542</v>
      </c>
      <c r="F488" s="732">
        <f t="shared" si="40"/>
        <v>4219414.4491525292</v>
      </c>
      <c r="G488" s="676">
        <f t="shared" si="41"/>
        <v>4347924.5338982921</v>
      </c>
      <c r="H488" s="726">
        <f>+J441*G488+E488</f>
        <v>726188.96432826482</v>
      </c>
      <c r="I488" s="733">
        <f>+J442*G488+E488</f>
        <v>726188.96432826482</v>
      </c>
      <c r="J488" s="729">
        <f t="shared" si="42"/>
        <v>0</v>
      </c>
      <c r="K488" s="729"/>
      <c r="L488" s="734"/>
      <c r="M488" s="729">
        <f t="shared" si="43"/>
        <v>0</v>
      </c>
      <c r="N488" s="734"/>
      <c r="O488" s="729">
        <f t="shared" si="44"/>
        <v>0</v>
      </c>
      <c r="P488" s="729">
        <f t="shared" si="45"/>
        <v>0</v>
      </c>
      <c r="Q488" s="677"/>
    </row>
    <row r="489" spans="2:17">
      <c r="B489" s="334"/>
      <c r="C489" s="725">
        <f>IF(D440="","-",+C488+1)</f>
        <v>2058</v>
      </c>
      <c r="D489" s="676">
        <f t="shared" si="46"/>
        <v>4219414.4491525292</v>
      </c>
      <c r="E489" s="732">
        <f t="shared" si="47"/>
        <v>257020.16949152542</v>
      </c>
      <c r="F489" s="732">
        <f t="shared" si="40"/>
        <v>3962394.279661004</v>
      </c>
      <c r="G489" s="676">
        <f t="shared" si="41"/>
        <v>4090904.3644067664</v>
      </c>
      <c r="H489" s="726">
        <f>+J441*G489+E489</f>
        <v>698454.84837732441</v>
      </c>
      <c r="I489" s="733">
        <f>+J442*G489+E489</f>
        <v>698454.84837732441</v>
      </c>
      <c r="J489" s="729">
        <f t="shared" si="42"/>
        <v>0</v>
      </c>
      <c r="K489" s="729"/>
      <c r="L489" s="734"/>
      <c r="M489" s="729">
        <f t="shared" si="43"/>
        <v>0</v>
      </c>
      <c r="N489" s="734"/>
      <c r="O489" s="729">
        <f t="shared" si="44"/>
        <v>0</v>
      </c>
      <c r="P489" s="729">
        <f t="shared" si="45"/>
        <v>0</v>
      </c>
      <c r="Q489" s="677"/>
    </row>
    <row r="490" spans="2:17">
      <c r="B490" s="334"/>
      <c r="C490" s="725">
        <f>IF(D440="","-",+C489+1)</f>
        <v>2059</v>
      </c>
      <c r="D490" s="676">
        <f t="shared" si="46"/>
        <v>3962394.279661004</v>
      </c>
      <c r="E490" s="732">
        <f t="shared" si="47"/>
        <v>257020.16949152542</v>
      </c>
      <c r="F490" s="732">
        <f t="shared" si="40"/>
        <v>3705374.1101694787</v>
      </c>
      <c r="G490" s="676">
        <f t="shared" si="41"/>
        <v>3833884.1949152416</v>
      </c>
      <c r="H490" s="726">
        <f>+J441*G490+E490</f>
        <v>670720.73242638411</v>
      </c>
      <c r="I490" s="733">
        <f>+J442*G490+E490</f>
        <v>670720.73242638411</v>
      </c>
      <c r="J490" s="729">
        <f t="shared" si="42"/>
        <v>0</v>
      </c>
      <c r="K490" s="729"/>
      <c r="L490" s="734"/>
      <c r="M490" s="729">
        <f t="shared" si="43"/>
        <v>0</v>
      </c>
      <c r="N490" s="734"/>
      <c r="O490" s="729">
        <f t="shared" si="44"/>
        <v>0</v>
      </c>
      <c r="P490" s="729">
        <f t="shared" si="45"/>
        <v>0</v>
      </c>
      <c r="Q490" s="677"/>
    </row>
    <row r="491" spans="2:17">
      <c r="B491" s="334"/>
      <c r="C491" s="725">
        <f>IF(D440="","-",+C490+1)</f>
        <v>2060</v>
      </c>
      <c r="D491" s="676">
        <f t="shared" si="46"/>
        <v>3705374.1101694787</v>
      </c>
      <c r="E491" s="732">
        <f t="shared" si="47"/>
        <v>257020.16949152542</v>
      </c>
      <c r="F491" s="732">
        <f t="shared" si="40"/>
        <v>3448353.9406779534</v>
      </c>
      <c r="G491" s="676">
        <f t="shared" si="41"/>
        <v>3576864.0254237158</v>
      </c>
      <c r="H491" s="726">
        <f>+J441*G491+E491</f>
        <v>642986.61647544382</v>
      </c>
      <c r="I491" s="733">
        <f>+J442*G491+E491</f>
        <v>642986.61647544382</v>
      </c>
      <c r="J491" s="729">
        <f t="shared" si="42"/>
        <v>0</v>
      </c>
      <c r="K491" s="729"/>
      <c r="L491" s="734"/>
      <c r="M491" s="729">
        <f t="shared" si="43"/>
        <v>0</v>
      </c>
      <c r="N491" s="734"/>
      <c r="O491" s="729">
        <f t="shared" si="44"/>
        <v>0</v>
      </c>
      <c r="P491" s="729">
        <f t="shared" si="45"/>
        <v>0</v>
      </c>
      <c r="Q491" s="677"/>
    </row>
    <row r="492" spans="2:17">
      <c r="B492" s="334"/>
      <c r="C492" s="725">
        <f>IF(D440="","-",+C491+1)</f>
        <v>2061</v>
      </c>
      <c r="D492" s="676">
        <f t="shared" si="46"/>
        <v>3448353.9406779534</v>
      </c>
      <c r="E492" s="732">
        <f t="shared" si="47"/>
        <v>257020.16949152542</v>
      </c>
      <c r="F492" s="732">
        <f t="shared" si="40"/>
        <v>3191333.7711864281</v>
      </c>
      <c r="G492" s="676">
        <f t="shared" si="41"/>
        <v>3319843.855932191</v>
      </c>
      <c r="H492" s="726">
        <f>+J441*G492+E492</f>
        <v>615252.50052450353</v>
      </c>
      <c r="I492" s="733">
        <f>+J442*G492+E492</f>
        <v>615252.50052450353</v>
      </c>
      <c r="J492" s="729">
        <f t="shared" si="42"/>
        <v>0</v>
      </c>
      <c r="K492" s="729"/>
      <c r="L492" s="734"/>
      <c r="M492" s="729">
        <f t="shared" si="43"/>
        <v>0</v>
      </c>
      <c r="N492" s="734"/>
      <c r="O492" s="729">
        <f t="shared" si="44"/>
        <v>0</v>
      </c>
      <c r="P492" s="729">
        <f t="shared" si="45"/>
        <v>0</v>
      </c>
      <c r="Q492" s="677"/>
    </row>
    <row r="493" spans="2:17">
      <c r="B493" s="334"/>
      <c r="C493" s="725">
        <f>IF(D440="","-",+C492+1)</f>
        <v>2062</v>
      </c>
      <c r="D493" s="676">
        <f t="shared" si="46"/>
        <v>3191333.7711864281</v>
      </c>
      <c r="E493" s="732">
        <f t="shared" si="47"/>
        <v>257020.16949152542</v>
      </c>
      <c r="F493" s="732">
        <f t="shared" si="40"/>
        <v>2934313.6016949029</v>
      </c>
      <c r="G493" s="676">
        <f t="shared" si="41"/>
        <v>3062823.6864406653</v>
      </c>
      <c r="H493" s="726">
        <f>+J441*G493+E493</f>
        <v>587518.38457356312</v>
      </c>
      <c r="I493" s="733">
        <f>+J442*G493+E493</f>
        <v>587518.38457356312</v>
      </c>
      <c r="J493" s="729">
        <f t="shared" si="42"/>
        <v>0</v>
      </c>
      <c r="K493" s="729"/>
      <c r="L493" s="734"/>
      <c r="M493" s="729">
        <f t="shared" si="43"/>
        <v>0</v>
      </c>
      <c r="N493" s="734"/>
      <c r="O493" s="729">
        <f t="shared" si="44"/>
        <v>0</v>
      </c>
      <c r="P493" s="729">
        <f t="shared" si="45"/>
        <v>0</v>
      </c>
      <c r="Q493" s="677"/>
    </row>
    <row r="494" spans="2:17">
      <c r="B494" s="334"/>
      <c r="C494" s="725">
        <f>IF(D440="","-",+C493+1)</f>
        <v>2063</v>
      </c>
      <c r="D494" s="676">
        <f t="shared" si="46"/>
        <v>2934313.6016949029</v>
      </c>
      <c r="E494" s="732">
        <f t="shared" si="47"/>
        <v>257020.16949152542</v>
      </c>
      <c r="F494" s="732">
        <f t="shared" si="40"/>
        <v>2677293.4322033776</v>
      </c>
      <c r="G494" s="676">
        <f t="shared" si="41"/>
        <v>2805803.5169491405</v>
      </c>
      <c r="H494" s="726">
        <f>+J441*G494+E494</f>
        <v>559784.26862262283</v>
      </c>
      <c r="I494" s="733">
        <f>+J442*G494+E494</f>
        <v>559784.26862262283</v>
      </c>
      <c r="J494" s="729">
        <f t="shared" si="42"/>
        <v>0</v>
      </c>
      <c r="K494" s="729"/>
      <c r="L494" s="734"/>
      <c r="M494" s="729">
        <f t="shared" si="43"/>
        <v>0</v>
      </c>
      <c r="N494" s="734"/>
      <c r="O494" s="729">
        <f t="shared" si="44"/>
        <v>0</v>
      </c>
      <c r="P494" s="729">
        <f t="shared" si="45"/>
        <v>0</v>
      </c>
      <c r="Q494" s="677"/>
    </row>
    <row r="495" spans="2:17">
      <c r="B495" s="334"/>
      <c r="C495" s="725">
        <f>IF(D440="","-",+C494+1)</f>
        <v>2064</v>
      </c>
      <c r="D495" s="676">
        <f t="shared" si="46"/>
        <v>2677293.4322033776</v>
      </c>
      <c r="E495" s="732">
        <f t="shared" si="47"/>
        <v>257020.16949152542</v>
      </c>
      <c r="F495" s="732">
        <f t="shared" si="40"/>
        <v>2420273.2627118523</v>
      </c>
      <c r="G495" s="676">
        <f t="shared" si="41"/>
        <v>2548783.3474576147</v>
      </c>
      <c r="H495" s="726">
        <f>+J441*G495+E495</f>
        <v>532050.15267168242</v>
      </c>
      <c r="I495" s="733">
        <f>+J442*G495+E495</f>
        <v>532050.15267168242</v>
      </c>
      <c r="J495" s="729">
        <f t="shared" si="42"/>
        <v>0</v>
      </c>
      <c r="K495" s="729"/>
      <c r="L495" s="734"/>
      <c r="M495" s="729">
        <f t="shared" si="43"/>
        <v>0</v>
      </c>
      <c r="N495" s="734"/>
      <c r="O495" s="729">
        <f t="shared" si="44"/>
        <v>0</v>
      </c>
      <c r="P495" s="729">
        <f t="shared" si="45"/>
        <v>0</v>
      </c>
      <c r="Q495" s="677"/>
    </row>
    <row r="496" spans="2:17">
      <c r="B496" s="334"/>
      <c r="C496" s="725">
        <f>IF(D440="","-",+C495+1)</f>
        <v>2065</v>
      </c>
      <c r="D496" s="676">
        <f t="shared" si="46"/>
        <v>2420273.2627118523</v>
      </c>
      <c r="E496" s="732">
        <f t="shared" si="47"/>
        <v>257020.16949152542</v>
      </c>
      <c r="F496" s="732">
        <f t="shared" si="40"/>
        <v>2163253.093220327</v>
      </c>
      <c r="G496" s="676">
        <f t="shared" si="41"/>
        <v>2291763.1779660899</v>
      </c>
      <c r="H496" s="726">
        <f>+J441*G496+E496</f>
        <v>504316.03672074224</v>
      </c>
      <c r="I496" s="733">
        <f>+J442*G496+E496</f>
        <v>504316.03672074224</v>
      </c>
      <c r="J496" s="729">
        <f t="shared" si="42"/>
        <v>0</v>
      </c>
      <c r="K496" s="729"/>
      <c r="L496" s="734"/>
      <c r="M496" s="729">
        <f t="shared" si="43"/>
        <v>0</v>
      </c>
      <c r="N496" s="734"/>
      <c r="O496" s="729">
        <f t="shared" si="44"/>
        <v>0</v>
      </c>
      <c r="P496" s="729">
        <f t="shared" si="45"/>
        <v>0</v>
      </c>
      <c r="Q496" s="677"/>
    </row>
    <row r="497" spans="2:17">
      <c r="B497" s="334"/>
      <c r="C497" s="725">
        <f>IF(D440="","-",+C496+1)</f>
        <v>2066</v>
      </c>
      <c r="D497" s="676">
        <f t="shared" si="46"/>
        <v>2163253.093220327</v>
      </c>
      <c r="E497" s="732">
        <f t="shared" si="47"/>
        <v>257020.16949152542</v>
      </c>
      <c r="F497" s="732">
        <f t="shared" si="40"/>
        <v>1906232.9237288015</v>
      </c>
      <c r="G497" s="676">
        <f t="shared" si="41"/>
        <v>2034743.0084745642</v>
      </c>
      <c r="H497" s="726">
        <f>+J441*G497+E497</f>
        <v>476581.92076980183</v>
      </c>
      <c r="I497" s="733">
        <f>+J442*G497+E497</f>
        <v>476581.92076980183</v>
      </c>
      <c r="J497" s="729">
        <f t="shared" si="42"/>
        <v>0</v>
      </c>
      <c r="K497" s="729"/>
      <c r="L497" s="734"/>
      <c r="M497" s="729">
        <f t="shared" si="43"/>
        <v>0</v>
      </c>
      <c r="N497" s="734"/>
      <c r="O497" s="729">
        <f t="shared" si="44"/>
        <v>0</v>
      </c>
      <c r="P497" s="729">
        <f t="shared" si="45"/>
        <v>0</v>
      </c>
      <c r="Q497" s="677"/>
    </row>
    <row r="498" spans="2:17">
      <c r="B498" s="334"/>
      <c r="C498" s="725">
        <f>IF(D440="","-",+C497+1)</f>
        <v>2067</v>
      </c>
      <c r="D498" s="676">
        <f t="shared" si="46"/>
        <v>1906232.9237288015</v>
      </c>
      <c r="E498" s="732">
        <f t="shared" si="47"/>
        <v>257020.16949152542</v>
      </c>
      <c r="F498" s="732">
        <f t="shared" si="40"/>
        <v>1649212.754237276</v>
      </c>
      <c r="G498" s="676">
        <f t="shared" si="41"/>
        <v>1777722.8389830389</v>
      </c>
      <c r="H498" s="726">
        <f>+J441*G498+E498</f>
        <v>448847.80481886154</v>
      </c>
      <c r="I498" s="733">
        <f>+J442*G498+E498</f>
        <v>448847.80481886154</v>
      </c>
      <c r="J498" s="729">
        <f t="shared" si="42"/>
        <v>0</v>
      </c>
      <c r="K498" s="729"/>
      <c r="L498" s="734"/>
      <c r="M498" s="729">
        <f t="shared" si="43"/>
        <v>0</v>
      </c>
      <c r="N498" s="734"/>
      <c r="O498" s="729">
        <f t="shared" si="44"/>
        <v>0</v>
      </c>
      <c r="P498" s="729">
        <f t="shared" si="45"/>
        <v>0</v>
      </c>
      <c r="Q498" s="677"/>
    </row>
    <row r="499" spans="2:17">
      <c r="B499" s="334"/>
      <c r="C499" s="725">
        <f>IF(D440="","-",+C498+1)</f>
        <v>2068</v>
      </c>
      <c r="D499" s="676">
        <f t="shared" si="46"/>
        <v>1649212.754237276</v>
      </c>
      <c r="E499" s="732">
        <f t="shared" si="47"/>
        <v>257020.16949152542</v>
      </c>
      <c r="F499" s="732">
        <f t="shared" si="40"/>
        <v>1392192.5847457505</v>
      </c>
      <c r="G499" s="676">
        <f t="shared" si="41"/>
        <v>1520702.6694915132</v>
      </c>
      <c r="H499" s="726">
        <f>+J441*G499+E499</f>
        <v>421113.68886792113</v>
      </c>
      <c r="I499" s="733">
        <f>+J442*G499+E499</f>
        <v>421113.68886792113</v>
      </c>
      <c r="J499" s="729">
        <f t="shared" si="42"/>
        <v>0</v>
      </c>
      <c r="K499" s="729"/>
      <c r="L499" s="734"/>
      <c r="M499" s="729">
        <f t="shared" si="43"/>
        <v>0</v>
      </c>
      <c r="N499" s="734"/>
      <c r="O499" s="729">
        <f t="shared" si="44"/>
        <v>0</v>
      </c>
      <c r="P499" s="729">
        <f t="shared" si="45"/>
        <v>0</v>
      </c>
      <c r="Q499" s="677"/>
    </row>
    <row r="500" spans="2:17">
      <c r="B500" s="334"/>
      <c r="C500" s="725">
        <f>IF(D440="","-",+C499+1)</f>
        <v>2069</v>
      </c>
      <c r="D500" s="676">
        <f t="shared" si="46"/>
        <v>1392192.5847457505</v>
      </c>
      <c r="E500" s="732">
        <f t="shared" si="47"/>
        <v>257020.16949152542</v>
      </c>
      <c r="F500" s="732">
        <f t="shared" si="40"/>
        <v>1135172.415254225</v>
      </c>
      <c r="G500" s="676">
        <f t="shared" si="41"/>
        <v>1263682.4999999879</v>
      </c>
      <c r="H500" s="726">
        <f>+J441*G500+E500</f>
        <v>393379.57291698083</v>
      </c>
      <c r="I500" s="733">
        <f>+J442*G500+E500</f>
        <v>393379.57291698083</v>
      </c>
      <c r="J500" s="729">
        <f t="shared" si="42"/>
        <v>0</v>
      </c>
      <c r="K500" s="729"/>
      <c r="L500" s="734"/>
      <c r="M500" s="729">
        <f t="shared" si="43"/>
        <v>0</v>
      </c>
      <c r="N500" s="734"/>
      <c r="O500" s="729">
        <f t="shared" si="44"/>
        <v>0</v>
      </c>
      <c r="P500" s="729">
        <f t="shared" si="45"/>
        <v>0</v>
      </c>
      <c r="Q500" s="677"/>
    </row>
    <row r="501" spans="2:17">
      <c r="B501" s="334"/>
      <c r="C501" s="725">
        <f>IF(D440="","-",+C500+1)</f>
        <v>2070</v>
      </c>
      <c r="D501" s="676">
        <f t="shared" si="46"/>
        <v>1135172.415254225</v>
      </c>
      <c r="E501" s="732">
        <f t="shared" si="47"/>
        <v>257020.16949152542</v>
      </c>
      <c r="F501" s="732">
        <f t="shared" si="40"/>
        <v>878152.24576269963</v>
      </c>
      <c r="G501" s="676">
        <f t="shared" si="41"/>
        <v>1006662.3305084624</v>
      </c>
      <c r="H501" s="726">
        <f>+J441*G501+E501</f>
        <v>365645.45696604042</v>
      </c>
      <c r="I501" s="733">
        <f>+J442*G501+E501</f>
        <v>365645.45696604042</v>
      </c>
      <c r="J501" s="729">
        <f t="shared" si="42"/>
        <v>0</v>
      </c>
      <c r="K501" s="729"/>
      <c r="L501" s="734"/>
      <c r="M501" s="729">
        <f t="shared" si="43"/>
        <v>0</v>
      </c>
      <c r="N501" s="734"/>
      <c r="O501" s="729">
        <f t="shared" si="44"/>
        <v>0</v>
      </c>
      <c r="P501" s="729">
        <f t="shared" si="45"/>
        <v>0</v>
      </c>
      <c r="Q501" s="677"/>
    </row>
    <row r="502" spans="2:17">
      <c r="B502" s="334"/>
      <c r="C502" s="725">
        <f>IF(D440="","-",+C501+1)</f>
        <v>2071</v>
      </c>
      <c r="D502" s="676">
        <f t="shared" si="46"/>
        <v>878152.24576269963</v>
      </c>
      <c r="E502" s="732">
        <f t="shared" si="47"/>
        <v>257020.16949152542</v>
      </c>
      <c r="F502" s="732">
        <f t="shared" si="40"/>
        <v>621132.07627117424</v>
      </c>
      <c r="G502" s="676">
        <f t="shared" si="41"/>
        <v>749642.16101693688</v>
      </c>
      <c r="H502" s="726">
        <f>+J441*G502+E502</f>
        <v>337911.34101510007</v>
      </c>
      <c r="I502" s="733">
        <f>+J442*G502+E502</f>
        <v>337911.34101510007</v>
      </c>
      <c r="J502" s="729">
        <f t="shared" si="42"/>
        <v>0</v>
      </c>
      <c r="K502" s="729"/>
      <c r="L502" s="734"/>
      <c r="M502" s="729">
        <f t="shared" si="43"/>
        <v>0</v>
      </c>
      <c r="N502" s="734"/>
      <c r="O502" s="729">
        <f t="shared" si="44"/>
        <v>0</v>
      </c>
      <c r="P502" s="729">
        <f t="shared" si="45"/>
        <v>0</v>
      </c>
      <c r="Q502" s="677"/>
    </row>
    <row r="503" spans="2:17">
      <c r="B503" s="334"/>
      <c r="C503" s="725">
        <f>IF(D440="","-",+C502+1)</f>
        <v>2072</v>
      </c>
      <c r="D503" s="676">
        <f t="shared" si="46"/>
        <v>621132.07627117424</v>
      </c>
      <c r="E503" s="732">
        <f t="shared" si="47"/>
        <v>257020.16949152542</v>
      </c>
      <c r="F503" s="732">
        <f t="shared" si="40"/>
        <v>364111.90677964885</v>
      </c>
      <c r="G503" s="676">
        <f t="shared" si="41"/>
        <v>492621.99152541155</v>
      </c>
      <c r="H503" s="726">
        <f>+J441*G503+E503</f>
        <v>310177.22506415978</v>
      </c>
      <c r="I503" s="733">
        <f>+J442*G503+E503</f>
        <v>310177.22506415978</v>
      </c>
      <c r="J503" s="729">
        <f t="shared" si="42"/>
        <v>0</v>
      </c>
      <c r="K503" s="729"/>
      <c r="L503" s="734"/>
      <c r="M503" s="729">
        <f t="shared" si="43"/>
        <v>0</v>
      </c>
      <c r="N503" s="734"/>
      <c r="O503" s="729">
        <f t="shared" si="44"/>
        <v>0</v>
      </c>
      <c r="P503" s="729">
        <f t="shared" si="45"/>
        <v>0</v>
      </c>
      <c r="Q503" s="677"/>
    </row>
    <row r="504" spans="2:17">
      <c r="B504" s="334"/>
      <c r="C504" s="725">
        <f>IF(D440="","-",+C503+1)</f>
        <v>2073</v>
      </c>
      <c r="D504" s="676">
        <f t="shared" si="46"/>
        <v>364111.90677964885</v>
      </c>
      <c r="E504" s="732">
        <f t="shared" si="47"/>
        <v>257020.16949152542</v>
      </c>
      <c r="F504" s="732">
        <f t="shared" si="40"/>
        <v>107091.73728812343</v>
      </c>
      <c r="G504" s="676">
        <f t="shared" si="41"/>
        <v>235601.82203388616</v>
      </c>
      <c r="H504" s="726">
        <f>+J441*G504+E504</f>
        <v>282443.10911321943</v>
      </c>
      <c r="I504" s="733">
        <f>+J442*G504+E504</f>
        <v>282443.10911321943</v>
      </c>
      <c r="J504" s="729">
        <f t="shared" si="42"/>
        <v>0</v>
      </c>
      <c r="K504" s="729"/>
      <c r="L504" s="734"/>
      <c r="M504" s="729">
        <f t="shared" si="43"/>
        <v>0</v>
      </c>
      <c r="N504" s="734"/>
      <c r="O504" s="729">
        <f t="shared" si="44"/>
        <v>0</v>
      </c>
      <c r="P504" s="729">
        <f t="shared" si="45"/>
        <v>0</v>
      </c>
      <c r="Q504" s="677"/>
    </row>
    <row r="505" spans="2:17" ht="13.5" thickBot="1">
      <c r="B505" s="334"/>
      <c r="C505" s="737">
        <f>IF(D440="","-",+C504+1)</f>
        <v>2074</v>
      </c>
      <c r="D505" s="738">
        <f t="shared" si="46"/>
        <v>107091.73728812343</v>
      </c>
      <c r="E505" s="739">
        <f t="shared" si="47"/>
        <v>107091.73728812343</v>
      </c>
      <c r="F505" s="739">
        <f t="shared" si="40"/>
        <v>0</v>
      </c>
      <c r="G505" s="738">
        <f t="shared" si="41"/>
        <v>53545.868644061717</v>
      </c>
      <c r="H505" s="740">
        <f>+J441*G505+E505</f>
        <v>112869.67811123535</v>
      </c>
      <c r="I505" s="740">
        <f>+J442*G505+E505</f>
        <v>112869.67811123535</v>
      </c>
      <c r="J505" s="741">
        <f t="shared" si="42"/>
        <v>0</v>
      </c>
      <c r="K505" s="729"/>
      <c r="L505" s="742"/>
      <c r="M505" s="741">
        <f t="shared" si="43"/>
        <v>0</v>
      </c>
      <c r="N505" s="742"/>
      <c r="O505" s="741">
        <f t="shared" si="44"/>
        <v>0</v>
      </c>
      <c r="P505" s="741">
        <f t="shared" si="45"/>
        <v>0</v>
      </c>
      <c r="Q505" s="677"/>
    </row>
    <row r="506" spans="2:17">
      <c r="B506" s="334"/>
      <c r="C506" s="676" t="s">
        <v>289</v>
      </c>
      <c r="D506" s="672"/>
      <c r="E506" s="672">
        <f>SUM(E446:E505)</f>
        <v>15164190</v>
      </c>
      <c r="F506" s="672"/>
      <c r="G506" s="672"/>
      <c r="H506" s="672">
        <f>SUM(H446:H505)</f>
        <v>64117215.829738893</v>
      </c>
      <c r="I506" s="672">
        <f>SUM(I446:I505)</f>
        <v>64117215.829738893</v>
      </c>
      <c r="J506" s="672">
        <f>SUM(J446:J505)</f>
        <v>0</v>
      </c>
      <c r="K506" s="672"/>
      <c r="L506" s="672"/>
      <c r="M506" s="672"/>
      <c r="N506" s="672"/>
      <c r="O506" s="672"/>
      <c r="Q506" s="672"/>
    </row>
    <row r="507" spans="2:17">
      <c r="B507" s="334"/>
      <c r="D507" s="566"/>
      <c r="E507" s="543"/>
      <c r="F507" s="543"/>
      <c r="G507" s="543"/>
      <c r="H507" s="543"/>
      <c r="I507" s="649"/>
      <c r="J507" s="649"/>
      <c r="K507" s="672"/>
      <c r="L507" s="649"/>
      <c r="M507" s="649"/>
      <c r="N507" s="649"/>
      <c r="O507" s="649"/>
      <c r="Q507" s="672"/>
    </row>
    <row r="508" spans="2:17">
      <c r="B508" s="334"/>
      <c r="C508" s="543" t="s">
        <v>602</v>
      </c>
      <c r="D508" s="566"/>
      <c r="E508" s="543"/>
      <c r="F508" s="543"/>
      <c r="G508" s="543"/>
      <c r="H508" s="543"/>
      <c r="I508" s="649"/>
      <c r="J508" s="649"/>
      <c r="K508" s="672"/>
      <c r="L508" s="649"/>
      <c r="M508" s="649"/>
      <c r="N508" s="649"/>
      <c r="O508" s="649"/>
      <c r="Q508" s="672"/>
    </row>
    <row r="509" spans="2:17">
      <c r="B509" s="334"/>
      <c r="D509" s="566"/>
      <c r="E509" s="543"/>
      <c r="F509" s="543"/>
      <c r="G509" s="543"/>
      <c r="H509" s="543"/>
      <c r="I509" s="649"/>
      <c r="J509" s="649"/>
      <c r="K509" s="672"/>
      <c r="L509" s="649"/>
      <c r="M509" s="649"/>
      <c r="N509" s="649"/>
      <c r="O509" s="649"/>
      <c r="Q509" s="672"/>
    </row>
    <row r="510" spans="2:17">
      <c r="B510" s="334"/>
      <c r="C510" s="579" t="s">
        <v>603</v>
      </c>
      <c r="D510" s="676"/>
      <c r="E510" s="676"/>
      <c r="F510" s="676"/>
      <c r="G510" s="676"/>
      <c r="H510" s="672"/>
      <c r="I510" s="672"/>
      <c r="J510" s="677"/>
      <c r="K510" s="677"/>
      <c r="L510" s="677"/>
      <c r="M510" s="677"/>
      <c r="N510" s="677"/>
      <c r="O510" s="677"/>
      <c r="Q510" s="677"/>
    </row>
    <row r="511" spans="2:17">
      <c r="B511" s="334"/>
      <c r="C511" s="579" t="s">
        <v>477</v>
      </c>
      <c r="D511" s="676"/>
      <c r="E511" s="676"/>
      <c r="F511" s="676"/>
      <c r="G511" s="676"/>
      <c r="H511" s="672"/>
      <c r="I511" s="672"/>
      <c r="J511" s="677"/>
      <c r="K511" s="677"/>
      <c r="L511" s="677"/>
      <c r="M511" s="677"/>
      <c r="N511" s="677"/>
      <c r="O511" s="677"/>
      <c r="Q511" s="677"/>
    </row>
    <row r="512" spans="2:17">
      <c r="B512" s="334"/>
      <c r="C512" s="579" t="s">
        <v>290</v>
      </c>
      <c r="D512" s="676"/>
      <c r="E512" s="676"/>
      <c r="F512" s="676"/>
      <c r="G512" s="676"/>
      <c r="H512" s="672"/>
      <c r="I512" s="672"/>
      <c r="J512" s="677"/>
      <c r="K512" s="677"/>
      <c r="L512" s="677"/>
      <c r="M512" s="677"/>
      <c r="N512" s="677"/>
      <c r="O512" s="677"/>
      <c r="Q512" s="677"/>
    </row>
    <row r="513" spans="1:17" ht="20.25">
      <c r="A513" s="678" t="s">
        <v>780</v>
      </c>
      <c r="B513" s="543"/>
      <c r="C513" s="658"/>
      <c r="D513" s="566"/>
      <c r="E513" s="543"/>
      <c r="F513" s="648"/>
      <c r="G513" s="648"/>
      <c r="H513" s="543"/>
      <c r="I513" s="649"/>
      <c r="L513" s="679"/>
      <c r="M513" s="679"/>
      <c r="N513" s="679"/>
      <c r="O513" s="594" t="str">
        <f>"Page "&amp;SUM(Q$3:Q513)&amp;" of "</f>
        <v xml:space="preserve">Page 7 of </v>
      </c>
      <c r="P513" s="595">
        <f>COUNT(Q$8:Q$58123)</f>
        <v>15</v>
      </c>
      <c r="Q513" s="763">
        <v>1</v>
      </c>
    </row>
    <row r="514" spans="1:17">
      <c r="B514" s="543"/>
      <c r="C514" s="543"/>
      <c r="D514" s="566"/>
      <c r="E514" s="543"/>
      <c r="F514" s="543"/>
      <c r="G514" s="543"/>
      <c r="H514" s="543"/>
      <c r="I514" s="649"/>
      <c r="J514" s="543"/>
      <c r="K514" s="591"/>
      <c r="Q514" s="591"/>
    </row>
    <row r="515" spans="1:17" ht="18">
      <c r="B515" s="598" t="s">
        <v>175</v>
      </c>
      <c r="C515" s="680" t="s">
        <v>291</v>
      </c>
      <c r="D515" s="566"/>
      <c r="E515" s="543"/>
      <c r="F515" s="543"/>
      <c r="G515" s="543"/>
      <c r="H515" s="543"/>
      <c r="I515" s="649"/>
      <c r="J515" s="649"/>
      <c r="K515" s="672"/>
      <c r="L515" s="649"/>
      <c r="M515" s="649"/>
      <c r="N515" s="649"/>
      <c r="O515" s="649"/>
      <c r="Q515" s="672"/>
    </row>
    <row r="516" spans="1:17" ht="18.75">
      <c r="B516" s="598"/>
      <c r="C516" s="597"/>
      <c r="D516" s="566"/>
      <c r="E516" s="543"/>
      <c r="F516" s="543"/>
      <c r="G516" s="543"/>
      <c r="H516" s="543"/>
      <c r="I516" s="649"/>
      <c r="J516" s="649"/>
      <c r="K516" s="672"/>
      <c r="L516" s="649"/>
      <c r="M516" s="649"/>
      <c r="N516" s="649"/>
      <c r="O516" s="649"/>
      <c r="Q516" s="672"/>
    </row>
    <row r="517" spans="1:17" ht="18.75">
      <c r="B517" s="598"/>
      <c r="C517" s="597" t="s">
        <v>292</v>
      </c>
      <c r="D517" s="566"/>
      <c r="E517" s="543"/>
      <c r="F517" s="543"/>
      <c r="G517" s="543"/>
      <c r="H517" s="543"/>
      <c r="I517" s="649"/>
      <c r="J517" s="649"/>
      <c r="K517" s="672"/>
      <c r="L517" s="649"/>
      <c r="M517" s="649"/>
      <c r="N517" s="649"/>
      <c r="O517" s="649"/>
      <c r="Q517" s="672"/>
    </row>
    <row r="518" spans="1:17" ht="15.75" thickBot="1">
      <c r="B518" s="334"/>
      <c r="C518" s="400"/>
      <c r="D518" s="566"/>
      <c r="E518" s="543"/>
      <c r="F518" s="543"/>
      <c r="G518" s="543"/>
      <c r="H518" s="543"/>
      <c r="I518" s="649"/>
      <c r="J518" s="649"/>
      <c r="K518" s="672"/>
      <c r="L518" s="649"/>
      <c r="M518" s="649"/>
      <c r="N518" s="649"/>
      <c r="O518" s="649"/>
      <c r="Q518" s="672"/>
    </row>
    <row r="519" spans="1:17" ht="15.75">
      <c r="B519" s="334"/>
      <c r="C519" s="599" t="s">
        <v>293</v>
      </c>
      <c r="D519" s="566"/>
      <c r="E519" s="543"/>
      <c r="F519" s="543"/>
      <c r="G519" s="543"/>
      <c r="H519" s="874"/>
      <c r="I519" s="543" t="s">
        <v>272</v>
      </c>
      <c r="J519" s="543"/>
      <c r="K519" s="591"/>
      <c r="L519" s="764">
        <f>+J525</f>
        <v>2018</v>
      </c>
      <c r="M519" s="746" t="s">
        <v>255</v>
      </c>
      <c r="N519" s="746" t="s">
        <v>256</v>
      </c>
      <c r="O519" s="747" t="s">
        <v>257</v>
      </c>
      <c r="Q519" s="591"/>
    </row>
    <row r="520" spans="1:17" ht="15.75">
      <c r="B520" s="334"/>
      <c r="C520" s="599"/>
      <c r="D520" s="566"/>
      <c r="E520" s="543"/>
      <c r="F520" s="543"/>
      <c r="H520" s="543"/>
      <c r="I520" s="684"/>
      <c r="J520" s="684"/>
      <c r="K520" s="685"/>
      <c r="L520" s="765" t="s">
        <v>456</v>
      </c>
      <c r="M520" s="766">
        <f>VLOOKUP(J525,C532:P591,10)</f>
        <v>1820478</v>
      </c>
      <c r="N520" s="766">
        <f>VLOOKUP(J525,C532:P591,12)</f>
        <v>1820478</v>
      </c>
      <c r="O520" s="767">
        <f>+N520-M520</f>
        <v>0</v>
      </c>
      <c r="Q520" s="685"/>
    </row>
    <row r="521" spans="1:17">
      <c r="B521" s="334"/>
      <c r="C521" s="687" t="s">
        <v>294</v>
      </c>
      <c r="D521" s="1434" t="s">
        <v>1000</v>
      </c>
      <c r="E521" s="1434"/>
      <c r="F521" s="1434"/>
      <c r="G521" s="1434"/>
      <c r="H521" s="1434"/>
      <c r="I521" s="649"/>
      <c r="J521" s="649"/>
      <c r="K521" s="672"/>
      <c r="L521" s="765" t="s">
        <v>457</v>
      </c>
      <c r="M521" s="768">
        <f>VLOOKUP(J525,C532:P591,6)</f>
        <v>406631.82114150457</v>
      </c>
      <c r="N521" s="768">
        <f>VLOOKUP(J525,C532:P591,7)</f>
        <v>406631.82114150457</v>
      </c>
      <c r="O521" s="769">
        <f>+N521-M521</f>
        <v>0</v>
      </c>
      <c r="Q521" s="672"/>
    </row>
    <row r="522" spans="1:17" ht="13.5" thickBot="1">
      <c r="B522" s="334"/>
      <c r="C522" s="689"/>
      <c r="D522" s="690"/>
      <c r="E522" s="674"/>
      <c r="F522" s="674"/>
      <c r="G522" s="674"/>
      <c r="H522" s="691"/>
      <c r="I522" s="649"/>
      <c r="J522" s="649"/>
      <c r="K522" s="672"/>
      <c r="L522" s="710" t="s">
        <v>458</v>
      </c>
      <c r="M522" s="770">
        <f>+M521-M520</f>
        <v>-1413846.1788584953</v>
      </c>
      <c r="N522" s="770">
        <f>+N521-N520</f>
        <v>-1413846.1788584953</v>
      </c>
      <c r="O522" s="771">
        <f>+O521-O520</f>
        <v>0</v>
      </c>
      <c r="Q522" s="672"/>
    </row>
    <row r="523" spans="1:17" ht="13.5" thickBot="1">
      <c r="B523" s="334"/>
      <c r="C523" s="692"/>
      <c r="D523" s="693"/>
      <c r="E523" s="691"/>
      <c r="F523" s="691"/>
      <c r="G523" s="691"/>
      <c r="H523" s="691"/>
      <c r="I523" s="691"/>
      <c r="J523" s="691"/>
      <c r="K523" s="694"/>
      <c r="L523" s="691"/>
      <c r="M523" s="691"/>
      <c r="N523" s="691"/>
      <c r="O523" s="691"/>
      <c r="P523" s="579"/>
      <c r="Q523" s="694"/>
    </row>
    <row r="524" spans="1:17" ht="13.5" thickBot="1">
      <c r="B524" s="334"/>
      <c r="C524" s="696" t="s">
        <v>295</v>
      </c>
      <c r="D524" s="697"/>
      <c r="E524" s="697"/>
      <c r="F524" s="697"/>
      <c r="G524" s="697"/>
      <c r="H524" s="697"/>
      <c r="I524" s="697"/>
      <c r="J524" s="697"/>
      <c r="K524" s="699"/>
      <c r="P524" s="700"/>
      <c r="Q524" s="699"/>
    </row>
    <row r="525" spans="1:17" ht="15">
      <c r="A525" s="695"/>
      <c r="B525" s="334"/>
      <c r="C525" s="702" t="s">
        <v>273</v>
      </c>
      <c r="D525" s="1268">
        <v>3334148</v>
      </c>
      <c r="E525" s="658" t="s">
        <v>274</v>
      </c>
      <c r="H525" s="703"/>
      <c r="I525" s="703"/>
      <c r="J525" s="704">
        <v>2018</v>
      </c>
      <c r="K525" s="589"/>
      <c r="L525" s="1445" t="s">
        <v>275</v>
      </c>
      <c r="M525" s="1445"/>
      <c r="N525" s="1445"/>
      <c r="O525" s="1445"/>
      <c r="P525" s="591"/>
      <c r="Q525" s="589"/>
    </row>
    <row r="526" spans="1:17">
      <c r="A526" s="695"/>
      <c r="B526" s="334"/>
      <c r="C526" s="702" t="s">
        <v>276</v>
      </c>
      <c r="D526" s="876">
        <v>2016</v>
      </c>
      <c r="E526" s="702" t="s">
        <v>277</v>
      </c>
      <c r="F526" s="703"/>
      <c r="G526" s="703"/>
      <c r="I526" s="334"/>
      <c r="J526" s="879">
        <v>0</v>
      </c>
      <c r="K526" s="705"/>
      <c r="L526" s="672" t="s">
        <v>476</v>
      </c>
      <c r="P526" s="591"/>
      <c r="Q526" s="705"/>
    </row>
    <row r="527" spans="1:17">
      <c r="A527" s="695"/>
      <c r="B527" s="334"/>
      <c r="C527" s="702" t="s">
        <v>278</v>
      </c>
      <c r="D527" s="1269">
        <v>11</v>
      </c>
      <c r="E527" s="702" t="s">
        <v>279</v>
      </c>
      <c r="F527" s="703"/>
      <c r="G527" s="703"/>
      <c r="I527" s="334"/>
      <c r="J527" s="706">
        <f>$F$70</f>
        <v>0.10790637951024619</v>
      </c>
      <c r="K527" s="707"/>
      <c r="L527" s="543" t="str">
        <f>"          INPUT TRUE-UP ARR (WITH &amp; WITHOUT INCENTIVES) FROM EACH PRIOR YEAR"</f>
        <v xml:space="preserve">          INPUT TRUE-UP ARR (WITH &amp; WITHOUT INCENTIVES) FROM EACH PRIOR YEAR</v>
      </c>
      <c r="P527" s="591"/>
      <c r="Q527" s="707"/>
    </row>
    <row r="528" spans="1:17">
      <c r="A528" s="695"/>
      <c r="B528" s="334"/>
      <c r="C528" s="702" t="s">
        <v>280</v>
      </c>
      <c r="D528" s="708">
        <f>H79</f>
        <v>59</v>
      </c>
      <c r="E528" s="702" t="s">
        <v>281</v>
      </c>
      <c r="F528" s="703"/>
      <c r="G528" s="703"/>
      <c r="I528" s="334"/>
      <c r="J528" s="706">
        <f>IF(H519="",J527,$F$69)</f>
        <v>0.10790637951024619</v>
      </c>
      <c r="K528" s="709"/>
      <c r="L528" s="543" t="s">
        <v>363</v>
      </c>
      <c r="M528" s="709"/>
      <c r="N528" s="709"/>
      <c r="O528" s="709"/>
      <c r="P528" s="591"/>
      <c r="Q528" s="709"/>
    </row>
    <row r="529" spans="1:17" ht="13.5" thickBot="1">
      <c r="A529" s="695"/>
      <c r="B529" s="334"/>
      <c r="C529" s="702" t="s">
        <v>282</v>
      </c>
      <c r="D529" s="878" t="s">
        <v>995</v>
      </c>
      <c r="E529" s="710" t="s">
        <v>283</v>
      </c>
      <c r="F529" s="711"/>
      <c r="G529" s="711"/>
      <c r="H529" s="712"/>
      <c r="I529" s="712"/>
      <c r="J529" s="688">
        <f>IF(D525=0,0,D525/D528)</f>
        <v>56510.983050847455</v>
      </c>
      <c r="K529" s="672"/>
      <c r="L529" s="672" t="s">
        <v>364</v>
      </c>
      <c r="M529" s="672"/>
      <c r="N529" s="672"/>
      <c r="O529" s="672"/>
      <c r="P529" s="591"/>
      <c r="Q529" s="672"/>
    </row>
    <row r="530" spans="1:17" ht="38.25">
      <c r="A530" s="530"/>
      <c r="B530" s="530"/>
      <c r="C530" s="713" t="s">
        <v>273</v>
      </c>
      <c r="D530" s="714" t="s">
        <v>284</v>
      </c>
      <c r="E530" s="715" t="s">
        <v>285</v>
      </c>
      <c r="F530" s="714" t="s">
        <v>286</v>
      </c>
      <c r="G530" s="714" t="s">
        <v>459</v>
      </c>
      <c r="H530" s="715" t="s">
        <v>357</v>
      </c>
      <c r="I530" s="716" t="s">
        <v>357</v>
      </c>
      <c r="J530" s="713" t="s">
        <v>296</v>
      </c>
      <c r="K530" s="717"/>
      <c r="L530" s="715" t="s">
        <v>359</v>
      </c>
      <c r="M530" s="715" t="s">
        <v>365</v>
      </c>
      <c r="N530" s="715" t="s">
        <v>359</v>
      </c>
      <c r="O530" s="715" t="s">
        <v>367</v>
      </c>
      <c r="P530" s="715" t="s">
        <v>287</v>
      </c>
      <c r="Q530" s="718"/>
    </row>
    <row r="531" spans="1:17" ht="13.5" thickBot="1">
      <c r="B531" s="334"/>
      <c r="C531" s="719" t="s">
        <v>178</v>
      </c>
      <c r="D531" s="720" t="s">
        <v>179</v>
      </c>
      <c r="E531" s="719" t="s">
        <v>37</v>
      </c>
      <c r="F531" s="720" t="s">
        <v>179</v>
      </c>
      <c r="G531" s="720" t="s">
        <v>179</v>
      </c>
      <c r="H531" s="721" t="s">
        <v>299</v>
      </c>
      <c r="I531" s="722" t="s">
        <v>301</v>
      </c>
      <c r="J531" s="723" t="s">
        <v>390</v>
      </c>
      <c r="K531" s="724"/>
      <c r="L531" s="721" t="s">
        <v>288</v>
      </c>
      <c r="M531" s="721" t="s">
        <v>288</v>
      </c>
      <c r="N531" s="721" t="s">
        <v>468</v>
      </c>
      <c r="O531" s="721" t="s">
        <v>468</v>
      </c>
      <c r="P531" s="721" t="s">
        <v>468</v>
      </c>
      <c r="Q531" s="589"/>
    </row>
    <row r="532" spans="1:17">
      <c r="B532" s="334"/>
      <c r="C532" s="725">
        <f>IF(D526= "","-",D526)</f>
        <v>2016</v>
      </c>
      <c r="D532" s="676">
        <f>+D525</f>
        <v>3334148</v>
      </c>
      <c r="E532" s="726">
        <f>+J529/12*(12-D527)</f>
        <v>4709.2485875706216</v>
      </c>
      <c r="F532" s="772">
        <f t="shared" ref="F532:F591" si="48">+D532-E532</f>
        <v>3329438.7514124294</v>
      </c>
      <c r="G532" s="676">
        <f t="shared" ref="G532:G591" si="49">+(D532+F532)/2</f>
        <v>3331793.3757062145</v>
      </c>
      <c r="H532" s="727">
        <f>+J527*G532+E532</f>
        <v>364231.00903624966</v>
      </c>
      <c r="I532" s="728">
        <f>+J528*G532+E532</f>
        <v>364231.00903624966</v>
      </c>
      <c r="J532" s="729">
        <f t="shared" ref="J532:J591" si="50">+I532-H532</f>
        <v>0</v>
      </c>
      <c r="K532" s="729"/>
      <c r="L532" s="730">
        <v>8871247</v>
      </c>
      <c r="M532" s="773">
        <f t="shared" ref="M532:M591" si="51">IF(L532&lt;&gt;0,+H532-L532,0)</f>
        <v>-8507015.9909637496</v>
      </c>
      <c r="N532" s="730">
        <v>8871247</v>
      </c>
      <c r="O532" s="773">
        <f t="shared" ref="O532:O591" si="52">IF(N532&lt;&gt;0,+I532-N532,0)</f>
        <v>-8507015.9909637496</v>
      </c>
      <c r="P532" s="773">
        <f t="shared" ref="P532:P591" si="53">+O532-M532</f>
        <v>0</v>
      </c>
      <c r="Q532" s="677"/>
    </row>
    <row r="533" spans="1:17">
      <c r="B533" s="334"/>
      <c r="C533" s="725">
        <f>IF(D526="","-",+C532+1)</f>
        <v>2017</v>
      </c>
      <c r="D533" s="676">
        <f t="shared" ref="D533:D591" si="54">F532</f>
        <v>3329438.7514124294</v>
      </c>
      <c r="E533" s="732">
        <f>IF(D533&gt;$J$529,$J$529,D533)</f>
        <v>56510.983050847455</v>
      </c>
      <c r="F533" s="732">
        <f t="shared" si="48"/>
        <v>3272927.768361582</v>
      </c>
      <c r="G533" s="676">
        <f t="shared" si="49"/>
        <v>3301183.2598870057</v>
      </c>
      <c r="H533" s="726">
        <f>+J527*G533+E533</f>
        <v>412729.71672508633</v>
      </c>
      <c r="I533" s="733">
        <f>+J528*G533+E533</f>
        <v>412729.71672508633</v>
      </c>
      <c r="J533" s="729">
        <f t="shared" si="50"/>
        <v>0</v>
      </c>
      <c r="K533" s="729"/>
      <c r="L533" s="734">
        <v>8889735</v>
      </c>
      <c r="M533" s="729">
        <f t="shared" si="51"/>
        <v>-8477005.2832749132</v>
      </c>
      <c r="N533" s="734">
        <v>8889735</v>
      </c>
      <c r="O533" s="729">
        <f t="shared" si="52"/>
        <v>-8477005.2832749132</v>
      </c>
      <c r="P533" s="729">
        <f t="shared" si="53"/>
        <v>0</v>
      </c>
      <c r="Q533" s="677"/>
    </row>
    <row r="534" spans="1:17">
      <c r="B534" s="334"/>
      <c r="C534" s="725">
        <f>IF(D526="","-",+C533+1)</f>
        <v>2018</v>
      </c>
      <c r="D534" s="1311">
        <f t="shared" si="54"/>
        <v>3272927.768361582</v>
      </c>
      <c r="E534" s="732">
        <f t="shared" ref="E534:E591" si="55">IF(D534&gt;$J$529,$J$529,D534)</f>
        <v>56510.983050847455</v>
      </c>
      <c r="F534" s="732">
        <f t="shared" si="48"/>
        <v>3216416.7853107345</v>
      </c>
      <c r="G534" s="676">
        <f t="shared" si="49"/>
        <v>3244672.2768361582</v>
      </c>
      <c r="H534" s="726">
        <f>+J527*G534+E534</f>
        <v>406631.82114150457</v>
      </c>
      <c r="I534" s="733">
        <f>+J528*G534+E534</f>
        <v>406631.82114150457</v>
      </c>
      <c r="J534" s="729">
        <f t="shared" si="50"/>
        <v>0</v>
      </c>
      <c r="K534" s="729"/>
      <c r="L534" s="734">
        <v>1820478</v>
      </c>
      <c r="M534" s="729">
        <f t="shared" si="51"/>
        <v>-1413846.1788584953</v>
      </c>
      <c r="N534" s="734">
        <v>1820478</v>
      </c>
      <c r="O534" s="729">
        <f t="shared" si="52"/>
        <v>-1413846.1788584953</v>
      </c>
      <c r="P534" s="729">
        <f t="shared" si="53"/>
        <v>0</v>
      </c>
      <c r="Q534" s="677"/>
    </row>
    <row r="535" spans="1:17">
      <c r="B535" s="334"/>
      <c r="C535" s="725">
        <f>IF(D526="","-",+C534+1)</f>
        <v>2019</v>
      </c>
      <c r="D535" s="1282">
        <f t="shared" si="54"/>
        <v>3216416.7853107345</v>
      </c>
      <c r="E535" s="732">
        <f t="shared" si="55"/>
        <v>56510.983050847455</v>
      </c>
      <c r="F535" s="732">
        <f t="shared" si="48"/>
        <v>3159905.8022598871</v>
      </c>
      <c r="G535" s="676">
        <f t="shared" si="49"/>
        <v>3188161.2937853108</v>
      </c>
      <c r="H535" s="726">
        <f>+J527*G535+E535</f>
        <v>400533.92555792269</v>
      </c>
      <c r="I535" s="733">
        <f>+J528*G535+E535</f>
        <v>400533.92555792269</v>
      </c>
      <c r="J535" s="729">
        <f t="shared" si="50"/>
        <v>0</v>
      </c>
      <c r="K535" s="729"/>
      <c r="L535" s="734">
        <v>0</v>
      </c>
      <c r="M535" s="729">
        <f t="shared" si="51"/>
        <v>0</v>
      </c>
      <c r="N535" s="734">
        <v>0</v>
      </c>
      <c r="O535" s="729">
        <f t="shared" si="52"/>
        <v>0</v>
      </c>
      <c r="P535" s="729">
        <f t="shared" si="53"/>
        <v>0</v>
      </c>
      <c r="Q535" s="677"/>
    </row>
    <row r="536" spans="1:17">
      <c r="B536" s="334"/>
      <c r="C536" s="725">
        <f>IF(D526="","-",+C535+1)</f>
        <v>2020</v>
      </c>
      <c r="D536" s="1282">
        <f t="shared" si="54"/>
        <v>3159905.8022598871</v>
      </c>
      <c r="E536" s="732">
        <f t="shared" si="55"/>
        <v>56510.983050847455</v>
      </c>
      <c r="F536" s="732">
        <f t="shared" si="48"/>
        <v>3103394.8192090397</v>
      </c>
      <c r="G536" s="676">
        <f t="shared" si="49"/>
        <v>3131650.3107344634</v>
      </c>
      <c r="H536" s="726">
        <f>+J527*G536+E536</f>
        <v>394436.02997434081</v>
      </c>
      <c r="I536" s="733">
        <f>+J528*G536+E536</f>
        <v>394436.02997434081</v>
      </c>
      <c r="J536" s="729">
        <f t="shared" si="50"/>
        <v>0</v>
      </c>
      <c r="K536" s="729"/>
      <c r="L536" s="734">
        <v>0</v>
      </c>
      <c r="M536" s="729">
        <f t="shared" si="51"/>
        <v>0</v>
      </c>
      <c r="N536" s="734">
        <v>0</v>
      </c>
      <c r="O536" s="729">
        <f t="shared" si="52"/>
        <v>0</v>
      </c>
      <c r="P536" s="729">
        <f t="shared" si="53"/>
        <v>0</v>
      </c>
      <c r="Q536" s="677"/>
    </row>
    <row r="537" spans="1:17">
      <c r="B537" s="334"/>
      <c r="C537" s="725">
        <f>IF(D526="","-",+C536+1)</f>
        <v>2021</v>
      </c>
      <c r="D537" s="676">
        <f t="shared" si="54"/>
        <v>3103394.8192090397</v>
      </c>
      <c r="E537" s="732">
        <f t="shared" si="55"/>
        <v>56510.983050847455</v>
      </c>
      <c r="F537" s="732">
        <f t="shared" si="48"/>
        <v>3046883.8361581923</v>
      </c>
      <c r="G537" s="676">
        <f t="shared" si="49"/>
        <v>3075139.327683616</v>
      </c>
      <c r="H537" s="726">
        <f>+J527*G537+E537</f>
        <v>388338.13439075905</v>
      </c>
      <c r="I537" s="733">
        <f>+J528*G537+E537</f>
        <v>388338.13439075905</v>
      </c>
      <c r="J537" s="729">
        <f t="shared" si="50"/>
        <v>0</v>
      </c>
      <c r="K537" s="729"/>
      <c r="L537" s="734">
        <v>0</v>
      </c>
      <c r="M537" s="729">
        <f t="shared" si="51"/>
        <v>0</v>
      </c>
      <c r="N537" s="734">
        <v>0</v>
      </c>
      <c r="O537" s="729">
        <f t="shared" si="52"/>
        <v>0</v>
      </c>
      <c r="P537" s="729">
        <f t="shared" si="53"/>
        <v>0</v>
      </c>
      <c r="Q537" s="677"/>
    </row>
    <row r="538" spans="1:17">
      <c r="B538" s="334"/>
      <c r="C538" s="725">
        <f>IF(D526="","-",+C537+1)</f>
        <v>2022</v>
      </c>
      <c r="D538" s="676">
        <f t="shared" si="54"/>
        <v>3046883.8361581923</v>
      </c>
      <c r="E538" s="732">
        <f t="shared" si="55"/>
        <v>56510.983050847455</v>
      </c>
      <c r="F538" s="732">
        <f t="shared" si="48"/>
        <v>2990372.8531073448</v>
      </c>
      <c r="G538" s="676">
        <f t="shared" si="49"/>
        <v>3018628.3446327685</v>
      </c>
      <c r="H538" s="726">
        <f>+J527*G538+E538</f>
        <v>382240.23880717717</v>
      </c>
      <c r="I538" s="733">
        <f>+J528*G538+E538</f>
        <v>382240.23880717717</v>
      </c>
      <c r="J538" s="729">
        <f t="shared" si="50"/>
        <v>0</v>
      </c>
      <c r="K538" s="729"/>
      <c r="L538" s="734">
        <v>0</v>
      </c>
      <c r="M538" s="729">
        <f t="shared" si="51"/>
        <v>0</v>
      </c>
      <c r="N538" s="734">
        <v>0</v>
      </c>
      <c r="O538" s="729">
        <f t="shared" si="52"/>
        <v>0</v>
      </c>
      <c r="P538" s="729">
        <f t="shared" si="53"/>
        <v>0</v>
      </c>
      <c r="Q538" s="677"/>
    </row>
    <row r="539" spans="1:17">
      <c r="B539" s="334"/>
      <c r="C539" s="725">
        <f>IF(D526="","-",+C538+1)</f>
        <v>2023</v>
      </c>
      <c r="D539" s="676">
        <f t="shared" si="54"/>
        <v>2990372.8531073448</v>
      </c>
      <c r="E539" s="732">
        <f t="shared" si="55"/>
        <v>56510.983050847455</v>
      </c>
      <c r="F539" s="732">
        <f t="shared" si="48"/>
        <v>2933861.8700564974</v>
      </c>
      <c r="G539" s="676">
        <f t="shared" si="49"/>
        <v>2962117.3615819211</v>
      </c>
      <c r="H539" s="726">
        <f>+J527*G539+E539</f>
        <v>376142.34322359541</v>
      </c>
      <c r="I539" s="733">
        <f>+J528*G539+E539</f>
        <v>376142.34322359541</v>
      </c>
      <c r="J539" s="729">
        <f t="shared" si="50"/>
        <v>0</v>
      </c>
      <c r="K539" s="729"/>
      <c r="L539" s="734">
        <v>0</v>
      </c>
      <c r="M539" s="729">
        <f t="shared" si="51"/>
        <v>0</v>
      </c>
      <c r="N539" s="734">
        <v>0</v>
      </c>
      <c r="O539" s="729">
        <f t="shared" si="52"/>
        <v>0</v>
      </c>
      <c r="P539" s="729">
        <f t="shared" si="53"/>
        <v>0</v>
      </c>
      <c r="Q539" s="677"/>
    </row>
    <row r="540" spans="1:17">
      <c r="B540" s="334"/>
      <c r="C540" s="725">
        <f>IF(D526="","-",+C539+1)</f>
        <v>2024</v>
      </c>
      <c r="D540" s="676">
        <f t="shared" si="54"/>
        <v>2933861.8700564974</v>
      </c>
      <c r="E540" s="732">
        <f t="shared" si="55"/>
        <v>56510.983050847455</v>
      </c>
      <c r="F540" s="732">
        <f t="shared" si="48"/>
        <v>2877350.88700565</v>
      </c>
      <c r="G540" s="676">
        <f t="shared" si="49"/>
        <v>2905606.3785310737</v>
      </c>
      <c r="H540" s="726">
        <f>+J527*G540+E540</f>
        <v>370044.44764001353</v>
      </c>
      <c r="I540" s="733">
        <f>+J528*G540+E540</f>
        <v>370044.44764001353</v>
      </c>
      <c r="J540" s="729">
        <f t="shared" si="50"/>
        <v>0</v>
      </c>
      <c r="K540" s="729"/>
      <c r="L540" s="734">
        <v>0</v>
      </c>
      <c r="M540" s="729">
        <f t="shared" si="51"/>
        <v>0</v>
      </c>
      <c r="N540" s="734">
        <v>0</v>
      </c>
      <c r="O540" s="729">
        <f t="shared" si="52"/>
        <v>0</v>
      </c>
      <c r="P540" s="729">
        <f t="shared" si="53"/>
        <v>0</v>
      </c>
      <c r="Q540" s="677"/>
    </row>
    <row r="541" spans="1:17">
      <c r="B541" s="334"/>
      <c r="C541" s="725">
        <f>IF(D526="","-",+C540+1)</f>
        <v>2025</v>
      </c>
      <c r="D541" s="676">
        <f t="shared" si="54"/>
        <v>2877350.88700565</v>
      </c>
      <c r="E541" s="732">
        <f t="shared" si="55"/>
        <v>56510.983050847455</v>
      </c>
      <c r="F541" s="732">
        <f t="shared" si="48"/>
        <v>2820839.9039548025</v>
      </c>
      <c r="G541" s="676">
        <f t="shared" si="49"/>
        <v>2849095.3954802263</v>
      </c>
      <c r="H541" s="726">
        <f>+J527*G541+E541</f>
        <v>363946.55205643165</v>
      </c>
      <c r="I541" s="733">
        <f>+J528*G541+E541</f>
        <v>363946.55205643165</v>
      </c>
      <c r="J541" s="729">
        <f t="shared" si="50"/>
        <v>0</v>
      </c>
      <c r="K541" s="729"/>
      <c r="L541" s="734">
        <v>0</v>
      </c>
      <c r="M541" s="729">
        <f t="shared" si="51"/>
        <v>0</v>
      </c>
      <c r="N541" s="734">
        <v>0</v>
      </c>
      <c r="O541" s="729">
        <f t="shared" si="52"/>
        <v>0</v>
      </c>
      <c r="P541" s="729">
        <f t="shared" si="53"/>
        <v>0</v>
      </c>
      <c r="Q541" s="677"/>
    </row>
    <row r="542" spans="1:17">
      <c r="B542" s="334"/>
      <c r="C542" s="725">
        <f>IF(D526="","-",+C541+1)</f>
        <v>2026</v>
      </c>
      <c r="D542" s="676">
        <f t="shared" si="54"/>
        <v>2820839.9039548025</v>
      </c>
      <c r="E542" s="732">
        <f t="shared" si="55"/>
        <v>56510.983050847455</v>
      </c>
      <c r="F542" s="732">
        <f t="shared" si="48"/>
        <v>2764328.9209039551</v>
      </c>
      <c r="G542" s="676">
        <f t="shared" si="49"/>
        <v>2792584.4124293788</v>
      </c>
      <c r="H542" s="726">
        <f>+J527*G542+E542</f>
        <v>357848.65647284989</v>
      </c>
      <c r="I542" s="733">
        <f>+J528*G542+E542</f>
        <v>357848.65647284989</v>
      </c>
      <c r="J542" s="729">
        <f t="shared" si="50"/>
        <v>0</v>
      </c>
      <c r="K542" s="729"/>
      <c r="L542" s="734">
        <v>0</v>
      </c>
      <c r="M542" s="729">
        <f t="shared" si="51"/>
        <v>0</v>
      </c>
      <c r="N542" s="734">
        <v>0</v>
      </c>
      <c r="O542" s="729">
        <f t="shared" si="52"/>
        <v>0</v>
      </c>
      <c r="P542" s="729">
        <f t="shared" si="53"/>
        <v>0</v>
      </c>
      <c r="Q542" s="677"/>
    </row>
    <row r="543" spans="1:17">
      <c r="B543" s="334"/>
      <c r="C543" s="725">
        <f>IF(D526="","-",+C542+1)</f>
        <v>2027</v>
      </c>
      <c r="D543" s="676">
        <f t="shared" si="54"/>
        <v>2764328.9209039551</v>
      </c>
      <c r="E543" s="732">
        <f t="shared" si="55"/>
        <v>56510.983050847455</v>
      </c>
      <c r="F543" s="732">
        <f t="shared" si="48"/>
        <v>2707817.9378531077</v>
      </c>
      <c r="G543" s="676">
        <f t="shared" si="49"/>
        <v>2736073.4293785314</v>
      </c>
      <c r="H543" s="726">
        <f>+J527*G543+E543</f>
        <v>351750.76088926801</v>
      </c>
      <c r="I543" s="733">
        <f>+J528*G543+E543</f>
        <v>351750.76088926801</v>
      </c>
      <c r="J543" s="729">
        <f t="shared" si="50"/>
        <v>0</v>
      </c>
      <c r="K543" s="729"/>
      <c r="L543" s="734"/>
      <c r="M543" s="729">
        <f t="shared" si="51"/>
        <v>0</v>
      </c>
      <c r="N543" s="734"/>
      <c r="O543" s="729">
        <f t="shared" si="52"/>
        <v>0</v>
      </c>
      <c r="P543" s="729">
        <f t="shared" si="53"/>
        <v>0</v>
      </c>
      <c r="Q543" s="677"/>
    </row>
    <row r="544" spans="1:17">
      <c r="B544" s="334"/>
      <c r="C544" s="725">
        <f>IF(D526="","-",+C543+1)</f>
        <v>2028</v>
      </c>
      <c r="D544" s="676">
        <f t="shared" si="54"/>
        <v>2707817.9378531077</v>
      </c>
      <c r="E544" s="732">
        <f t="shared" si="55"/>
        <v>56510.983050847455</v>
      </c>
      <c r="F544" s="732">
        <f t="shared" si="48"/>
        <v>2651306.9548022603</v>
      </c>
      <c r="G544" s="676">
        <f t="shared" si="49"/>
        <v>2679562.446327684</v>
      </c>
      <c r="H544" s="726">
        <f>+J527*G544+E544</f>
        <v>345652.86530568625</v>
      </c>
      <c r="I544" s="733">
        <f>+J528*G544+E544</f>
        <v>345652.86530568625</v>
      </c>
      <c r="J544" s="729">
        <f t="shared" si="50"/>
        <v>0</v>
      </c>
      <c r="K544" s="729"/>
      <c r="L544" s="734"/>
      <c r="M544" s="729">
        <f t="shared" si="51"/>
        <v>0</v>
      </c>
      <c r="N544" s="734"/>
      <c r="O544" s="729">
        <f t="shared" si="52"/>
        <v>0</v>
      </c>
      <c r="P544" s="729">
        <f t="shared" si="53"/>
        <v>0</v>
      </c>
      <c r="Q544" s="677"/>
    </row>
    <row r="545" spans="2:17">
      <c r="B545" s="334"/>
      <c r="C545" s="725">
        <f>IF(D526="","-",+C544+1)</f>
        <v>2029</v>
      </c>
      <c r="D545" s="676">
        <f t="shared" si="54"/>
        <v>2651306.9548022603</v>
      </c>
      <c r="E545" s="732">
        <f t="shared" si="55"/>
        <v>56510.983050847455</v>
      </c>
      <c r="F545" s="732">
        <f t="shared" si="48"/>
        <v>2594795.9717514128</v>
      </c>
      <c r="G545" s="676">
        <f t="shared" si="49"/>
        <v>2623051.4632768366</v>
      </c>
      <c r="H545" s="726">
        <f>+J527*G545+E545</f>
        <v>339554.96972210438</v>
      </c>
      <c r="I545" s="733">
        <f>+J528*G545+E545</f>
        <v>339554.96972210438</v>
      </c>
      <c r="J545" s="729">
        <f t="shared" si="50"/>
        <v>0</v>
      </c>
      <c r="K545" s="729"/>
      <c r="L545" s="734"/>
      <c r="M545" s="729">
        <f t="shared" si="51"/>
        <v>0</v>
      </c>
      <c r="N545" s="734"/>
      <c r="O545" s="729">
        <f t="shared" si="52"/>
        <v>0</v>
      </c>
      <c r="P545" s="729">
        <f t="shared" si="53"/>
        <v>0</v>
      </c>
      <c r="Q545" s="677"/>
    </row>
    <row r="546" spans="2:17">
      <c r="B546" s="334"/>
      <c r="C546" s="725">
        <f>IF(D526="","-",+C545+1)</f>
        <v>2030</v>
      </c>
      <c r="D546" s="676">
        <f t="shared" si="54"/>
        <v>2594795.9717514128</v>
      </c>
      <c r="E546" s="732">
        <f t="shared" si="55"/>
        <v>56510.983050847455</v>
      </c>
      <c r="F546" s="732">
        <f t="shared" si="48"/>
        <v>2538284.9887005654</v>
      </c>
      <c r="G546" s="676">
        <f t="shared" si="49"/>
        <v>2566540.4802259891</v>
      </c>
      <c r="H546" s="726">
        <f>+J527*G546+E546</f>
        <v>333457.0741385225</v>
      </c>
      <c r="I546" s="733">
        <f>+J528*G546+E546</f>
        <v>333457.0741385225</v>
      </c>
      <c r="J546" s="729">
        <f t="shared" si="50"/>
        <v>0</v>
      </c>
      <c r="K546" s="729"/>
      <c r="L546" s="734"/>
      <c r="M546" s="729">
        <f t="shared" si="51"/>
        <v>0</v>
      </c>
      <c r="N546" s="734"/>
      <c r="O546" s="729">
        <f t="shared" si="52"/>
        <v>0</v>
      </c>
      <c r="P546" s="729">
        <f t="shared" si="53"/>
        <v>0</v>
      </c>
      <c r="Q546" s="677"/>
    </row>
    <row r="547" spans="2:17">
      <c r="B547" s="334"/>
      <c r="C547" s="725">
        <f>IF(D526="","-",+C546+1)</f>
        <v>2031</v>
      </c>
      <c r="D547" s="676">
        <f t="shared" si="54"/>
        <v>2538284.9887005654</v>
      </c>
      <c r="E547" s="732">
        <f t="shared" si="55"/>
        <v>56510.983050847455</v>
      </c>
      <c r="F547" s="732">
        <f t="shared" si="48"/>
        <v>2481774.005649718</v>
      </c>
      <c r="G547" s="676">
        <f t="shared" si="49"/>
        <v>2510029.4971751417</v>
      </c>
      <c r="H547" s="726">
        <f>+J527*G547+E547</f>
        <v>327359.17855494074</v>
      </c>
      <c r="I547" s="733">
        <f>+J528*G547+E547</f>
        <v>327359.17855494074</v>
      </c>
      <c r="J547" s="729">
        <f t="shared" si="50"/>
        <v>0</v>
      </c>
      <c r="K547" s="729"/>
      <c r="L547" s="734"/>
      <c r="M547" s="729">
        <f t="shared" si="51"/>
        <v>0</v>
      </c>
      <c r="N547" s="734"/>
      <c r="O547" s="729">
        <f t="shared" si="52"/>
        <v>0</v>
      </c>
      <c r="P547" s="729">
        <f t="shared" si="53"/>
        <v>0</v>
      </c>
      <c r="Q547" s="677"/>
    </row>
    <row r="548" spans="2:17">
      <c r="B548" s="334"/>
      <c r="C548" s="725">
        <f>IF(D526="","-",+C547+1)</f>
        <v>2032</v>
      </c>
      <c r="D548" s="676">
        <f t="shared" si="54"/>
        <v>2481774.005649718</v>
      </c>
      <c r="E548" s="732">
        <f t="shared" si="55"/>
        <v>56510.983050847455</v>
      </c>
      <c r="F548" s="732">
        <f t="shared" si="48"/>
        <v>2425263.0225988706</v>
      </c>
      <c r="G548" s="676">
        <f t="shared" si="49"/>
        <v>2453518.5141242943</v>
      </c>
      <c r="H548" s="726">
        <f>+J527*G548+E548</f>
        <v>321261.28297135886</v>
      </c>
      <c r="I548" s="733">
        <f>+J528*G548+E548</f>
        <v>321261.28297135886</v>
      </c>
      <c r="J548" s="729">
        <f t="shared" si="50"/>
        <v>0</v>
      </c>
      <c r="K548" s="729"/>
      <c r="L548" s="734"/>
      <c r="M548" s="729">
        <f t="shared" si="51"/>
        <v>0</v>
      </c>
      <c r="N548" s="734"/>
      <c r="O548" s="729">
        <f t="shared" si="52"/>
        <v>0</v>
      </c>
      <c r="P548" s="729">
        <f t="shared" si="53"/>
        <v>0</v>
      </c>
      <c r="Q548" s="677"/>
    </row>
    <row r="549" spans="2:17">
      <c r="B549" s="334"/>
      <c r="C549" s="725">
        <f>IF(D526="","-",+C548+1)</f>
        <v>2033</v>
      </c>
      <c r="D549" s="676">
        <f t="shared" si="54"/>
        <v>2425263.0225988706</v>
      </c>
      <c r="E549" s="732">
        <f t="shared" si="55"/>
        <v>56510.983050847455</v>
      </c>
      <c r="F549" s="732">
        <f t="shared" si="48"/>
        <v>2368752.0395480231</v>
      </c>
      <c r="G549" s="676">
        <f t="shared" si="49"/>
        <v>2397007.5310734469</v>
      </c>
      <c r="H549" s="726">
        <f>+J527*G549+E549</f>
        <v>315163.38738777704</v>
      </c>
      <c r="I549" s="733">
        <f>+J528*G549+E549</f>
        <v>315163.38738777704</v>
      </c>
      <c r="J549" s="729">
        <f t="shared" si="50"/>
        <v>0</v>
      </c>
      <c r="K549" s="729"/>
      <c r="L549" s="734"/>
      <c r="M549" s="729">
        <f t="shared" si="51"/>
        <v>0</v>
      </c>
      <c r="N549" s="734"/>
      <c r="O549" s="729">
        <f t="shared" si="52"/>
        <v>0</v>
      </c>
      <c r="P549" s="729">
        <f t="shared" si="53"/>
        <v>0</v>
      </c>
      <c r="Q549" s="677"/>
    </row>
    <row r="550" spans="2:17">
      <c r="B550" s="334"/>
      <c r="C550" s="725">
        <f>IF(D526="","-",+C549+1)</f>
        <v>2034</v>
      </c>
      <c r="D550" s="676">
        <f t="shared" si="54"/>
        <v>2368752.0395480231</v>
      </c>
      <c r="E550" s="732">
        <f t="shared" si="55"/>
        <v>56510.983050847455</v>
      </c>
      <c r="F550" s="732">
        <f t="shared" si="48"/>
        <v>2312241.0564971757</v>
      </c>
      <c r="G550" s="676">
        <f t="shared" si="49"/>
        <v>2340496.5480225994</v>
      </c>
      <c r="H550" s="726">
        <f>+J527*G550+E550</f>
        <v>309065.49180419522</v>
      </c>
      <c r="I550" s="733">
        <f>+J528*G550+E550</f>
        <v>309065.49180419522</v>
      </c>
      <c r="J550" s="729">
        <f t="shared" si="50"/>
        <v>0</v>
      </c>
      <c r="K550" s="729"/>
      <c r="L550" s="734"/>
      <c r="M550" s="729">
        <f t="shared" si="51"/>
        <v>0</v>
      </c>
      <c r="N550" s="734"/>
      <c r="O550" s="729">
        <f t="shared" si="52"/>
        <v>0</v>
      </c>
      <c r="P550" s="729">
        <f t="shared" si="53"/>
        <v>0</v>
      </c>
      <c r="Q550" s="677"/>
    </row>
    <row r="551" spans="2:17">
      <c r="B551" s="334"/>
      <c r="C551" s="725">
        <f>IF(D526="","-",+C550+1)</f>
        <v>2035</v>
      </c>
      <c r="D551" s="676">
        <f t="shared" si="54"/>
        <v>2312241.0564971757</v>
      </c>
      <c r="E551" s="732">
        <f t="shared" si="55"/>
        <v>56510.983050847455</v>
      </c>
      <c r="F551" s="732">
        <f t="shared" si="48"/>
        <v>2255730.0734463283</v>
      </c>
      <c r="G551" s="676">
        <f t="shared" si="49"/>
        <v>2283985.564971752</v>
      </c>
      <c r="H551" s="726">
        <f>+J527*G551+E551</f>
        <v>302967.59622061334</v>
      </c>
      <c r="I551" s="733">
        <f>+J528*G551+E551</f>
        <v>302967.59622061334</v>
      </c>
      <c r="J551" s="729">
        <f t="shared" si="50"/>
        <v>0</v>
      </c>
      <c r="K551" s="729"/>
      <c r="L551" s="734"/>
      <c r="M551" s="729">
        <f t="shared" si="51"/>
        <v>0</v>
      </c>
      <c r="N551" s="734"/>
      <c r="O551" s="729">
        <f t="shared" si="52"/>
        <v>0</v>
      </c>
      <c r="P551" s="729">
        <f t="shared" si="53"/>
        <v>0</v>
      </c>
      <c r="Q551" s="677"/>
    </row>
    <row r="552" spans="2:17">
      <c r="B552" s="334"/>
      <c r="C552" s="725">
        <f>IF(D526="","-",+C551+1)</f>
        <v>2036</v>
      </c>
      <c r="D552" s="676">
        <f t="shared" si="54"/>
        <v>2255730.0734463283</v>
      </c>
      <c r="E552" s="732">
        <f t="shared" si="55"/>
        <v>56510.983050847455</v>
      </c>
      <c r="F552" s="732">
        <f t="shared" si="48"/>
        <v>2199219.0903954809</v>
      </c>
      <c r="G552" s="676">
        <f t="shared" si="49"/>
        <v>2227474.5819209046</v>
      </c>
      <c r="H552" s="726">
        <f>+J527*G552+E552</f>
        <v>296869.70063703158</v>
      </c>
      <c r="I552" s="733">
        <f>+J528*G552+E552</f>
        <v>296869.70063703158</v>
      </c>
      <c r="J552" s="729">
        <f t="shared" si="50"/>
        <v>0</v>
      </c>
      <c r="K552" s="729"/>
      <c r="L552" s="734"/>
      <c r="M552" s="729">
        <f t="shared" si="51"/>
        <v>0</v>
      </c>
      <c r="N552" s="734"/>
      <c r="O552" s="729">
        <f t="shared" si="52"/>
        <v>0</v>
      </c>
      <c r="P552" s="729">
        <f t="shared" si="53"/>
        <v>0</v>
      </c>
      <c r="Q552" s="677"/>
    </row>
    <row r="553" spans="2:17">
      <c r="B553" s="334"/>
      <c r="C553" s="725">
        <f>IF(D526="","-",+C552+1)</f>
        <v>2037</v>
      </c>
      <c r="D553" s="676">
        <f t="shared" si="54"/>
        <v>2199219.0903954809</v>
      </c>
      <c r="E553" s="732">
        <f t="shared" si="55"/>
        <v>56510.983050847455</v>
      </c>
      <c r="F553" s="732">
        <f t="shared" si="48"/>
        <v>2142708.1073446334</v>
      </c>
      <c r="G553" s="676">
        <f t="shared" si="49"/>
        <v>2170963.5988700571</v>
      </c>
      <c r="H553" s="726">
        <f>+J527*G553+E553</f>
        <v>290771.8050534497</v>
      </c>
      <c r="I553" s="733">
        <f>+J528*G553+E553</f>
        <v>290771.8050534497</v>
      </c>
      <c r="J553" s="729">
        <f t="shared" si="50"/>
        <v>0</v>
      </c>
      <c r="K553" s="729"/>
      <c r="L553" s="734"/>
      <c r="M553" s="729">
        <f t="shared" si="51"/>
        <v>0</v>
      </c>
      <c r="N553" s="734"/>
      <c r="O553" s="729">
        <f t="shared" si="52"/>
        <v>0</v>
      </c>
      <c r="P553" s="729">
        <f t="shared" si="53"/>
        <v>0</v>
      </c>
      <c r="Q553" s="677"/>
    </row>
    <row r="554" spans="2:17">
      <c r="B554" s="334"/>
      <c r="C554" s="725">
        <f>IF(D526="","-",+C553+1)</f>
        <v>2038</v>
      </c>
      <c r="D554" s="676">
        <f t="shared" si="54"/>
        <v>2142708.1073446334</v>
      </c>
      <c r="E554" s="732">
        <f t="shared" si="55"/>
        <v>56510.983050847455</v>
      </c>
      <c r="F554" s="732">
        <f t="shared" si="48"/>
        <v>2086197.124293786</v>
      </c>
      <c r="G554" s="676">
        <f t="shared" si="49"/>
        <v>2114452.6158192097</v>
      </c>
      <c r="H554" s="726">
        <f>+J527*G554+E554</f>
        <v>284673.90946986788</v>
      </c>
      <c r="I554" s="733">
        <f>+J528*G554+E554</f>
        <v>284673.90946986788</v>
      </c>
      <c r="J554" s="729">
        <f t="shared" si="50"/>
        <v>0</v>
      </c>
      <c r="K554" s="729"/>
      <c r="L554" s="734"/>
      <c r="M554" s="729">
        <f t="shared" si="51"/>
        <v>0</v>
      </c>
      <c r="N554" s="734"/>
      <c r="O554" s="729">
        <f t="shared" si="52"/>
        <v>0</v>
      </c>
      <c r="P554" s="729">
        <f t="shared" si="53"/>
        <v>0</v>
      </c>
      <c r="Q554" s="677"/>
    </row>
    <row r="555" spans="2:17">
      <c r="B555" s="334"/>
      <c r="C555" s="725">
        <f>IF(D526="","-",+C554+1)</f>
        <v>2039</v>
      </c>
      <c r="D555" s="676">
        <f t="shared" si="54"/>
        <v>2086197.124293786</v>
      </c>
      <c r="E555" s="732">
        <f t="shared" si="55"/>
        <v>56510.983050847455</v>
      </c>
      <c r="F555" s="732">
        <f t="shared" si="48"/>
        <v>2029686.1412429386</v>
      </c>
      <c r="G555" s="676">
        <f t="shared" si="49"/>
        <v>2057941.6327683623</v>
      </c>
      <c r="H555" s="726">
        <f>+J527*G555+E555</f>
        <v>278576.01388628606</v>
      </c>
      <c r="I555" s="733">
        <f>+J528*G555+E555</f>
        <v>278576.01388628606</v>
      </c>
      <c r="J555" s="729">
        <f t="shared" si="50"/>
        <v>0</v>
      </c>
      <c r="K555" s="729"/>
      <c r="L555" s="734"/>
      <c r="M555" s="729">
        <f t="shared" si="51"/>
        <v>0</v>
      </c>
      <c r="N555" s="734"/>
      <c r="O555" s="729">
        <f t="shared" si="52"/>
        <v>0</v>
      </c>
      <c r="P555" s="729">
        <f t="shared" si="53"/>
        <v>0</v>
      </c>
      <c r="Q555" s="677"/>
    </row>
    <row r="556" spans="2:17">
      <c r="B556" s="334"/>
      <c r="C556" s="725">
        <f>IF(D526="","-",+C555+1)</f>
        <v>2040</v>
      </c>
      <c r="D556" s="676">
        <f t="shared" si="54"/>
        <v>2029686.1412429386</v>
      </c>
      <c r="E556" s="732">
        <f t="shared" si="55"/>
        <v>56510.983050847455</v>
      </c>
      <c r="F556" s="732">
        <f t="shared" si="48"/>
        <v>1973175.1581920912</v>
      </c>
      <c r="G556" s="676">
        <f t="shared" si="49"/>
        <v>2001430.6497175149</v>
      </c>
      <c r="H556" s="726">
        <f>+J527*G556+E556</f>
        <v>272478.11830270418</v>
      </c>
      <c r="I556" s="733">
        <f>+J528*G556+E556</f>
        <v>272478.11830270418</v>
      </c>
      <c r="J556" s="729">
        <f t="shared" si="50"/>
        <v>0</v>
      </c>
      <c r="K556" s="729"/>
      <c r="L556" s="734"/>
      <c r="M556" s="729">
        <f t="shared" si="51"/>
        <v>0</v>
      </c>
      <c r="N556" s="734"/>
      <c r="O556" s="729">
        <f t="shared" si="52"/>
        <v>0</v>
      </c>
      <c r="P556" s="729">
        <f t="shared" si="53"/>
        <v>0</v>
      </c>
      <c r="Q556" s="677"/>
    </row>
    <row r="557" spans="2:17">
      <c r="B557" s="334"/>
      <c r="C557" s="725">
        <f>IF(D526="","-",+C556+1)</f>
        <v>2041</v>
      </c>
      <c r="D557" s="676">
        <f t="shared" si="54"/>
        <v>1973175.1581920912</v>
      </c>
      <c r="E557" s="732">
        <f t="shared" si="55"/>
        <v>56510.983050847455</v>
      </c>
      <c r="F557" s="732">
        <f t="shared" si="48"/>
        <v>1916664.1751412437</v>
      </c>
      <c r="G557" s="676">
        <f t="shared" si="49"/>
        <v>1944919.6666666674</v>
      </c>
      <c r="H557" s="726">
        <f>+J527*G557+E557</f>
        <v>266380.22271912242</v>
      </c>
      <c r="I557" s="733">
        <f>+J528*G557+E557</f>
        <v>266380.22271912242</v>
      </c>
      <c r="J557" s="729">
        <f t="shared" si="50"/>
        <v>0</v>
      </c>
      <c r="K557" s="729"/>
      <c r="L557" s="734"/>
      <c r="M557" s="729">
        <f t="shared" si="51"/>
        <v>0</v>
      </c>
      <c r="N557" s="734"/>
      <c r="O557" s="729">
        <f t="shared" si="52"/>
        <v>0</v>
      </c>
      <c r="P557" s="729">
        <f t="shared" si="53"/>
        <v>0</v>
      </c>
      <c r="Q557" s="677"/>
    </row>
    <row r="558" spans="2:17">
      <c r="B558" s="334"/>
      <c r="C558" s="725">
        <f>IF(D526="","-",+C557+1)</f>
        <v>2042</v>
      </c>
      <c r="D558" s="676">
        <f t="shared" si="54"/>
        <v>1916664.1751412437</v>
      </c>
      <c r="E558" s="732">
        <f t="shared" si="55"/>
        <v>56510.983050847455</v>
      </c>
      <c r="F558" s="732">
        <f t="shared" si="48"/>
        <v>1860153.1920903963</v>
      </c>
      <c r="G558" s="676">
        <f t="shared" si="49"/>
        <v>1888408.68361582</v>
      </c>
      <c r="H558" s="726">
        <f>+J527*G558+E558</f>
        <v>260282.32713554054</v>
      </c>
      <c r="I558" s="733">
        <f>+J528*G558+E558</f>
        <v>260282.32713554054</v>
      </c>
      <c r="J558" s="729">
        <f t="shared" si="50"/>
        <v>0</v>
      </c>
      <c r="K558" s="729"/>
      <c r="L558" s="734"/>
      <c r="M558" s="729">
        <f t="shared" si="51"/>
        <v>0</v>
      </c>
      <c r="N558" s="734"/>
      <c r="O558" s="729">
        <f t="shared" si="52"/>
        <v>0</v>
      </c>
      <c r="P558" s="729">
        <f t="shared" si="53"/>
        <v>0</v>
      </c>
      <c r="Q558" s="677"/>
    </row>
    <row r="559" spans="2:17">
      <c r="B559" s="334"/>
      <c r="C559" s="725">
        <f>IF(D526="","-",+C558+1)</f>
        <v>2043</v>
      </c>
      <c r="D559" s="676">
        <f t="shared" si="54"/>
        <v>1860153.1920903963</v>
      </c>
      <c r="E559" s="732">
        <f t="shared" si="55"/>
        <v>56510.983050847455</v>
      </c>
      <c r="F559" s="732">
        <f t="shared" si="48"/>
        <v>1803642.2090395489</v>
      </c>
      <c r="G559" s="676">
        <f t="shared" si="49"/>
        <v>1831897.7005649726</v>
      </c>
      <c r="H559" s="726">
        <f>+J527*G559+E559</f>
        <v>254184.43155195873</v>
      </c>
      <c r="I559" s="733">
        <f>+J528*G559+E559</f>
        <v>254184.43155195873</v>
      </c>
      <c r="J559" s="729">
        <f t="shared" si="50"/>
        <v>0</v>
      </c>
      <c r="K559" s="729"/>
      <c r="L559" s="734"/>
      <c r="M559" s="729">
        <f t="shared" si="51"/>
        <v>0</v>
      </c>
      <c r="N559" s="734"/>
      <c r="O559" s="729">
        <f t="shared" si="52"/>
        <v>0</v>
      </c>
      <c r="P559" s="729">
        <f t="shared" si="53"/>
        <v>0</v>
      </c>
      <c r="Q559" s="677"/>
    </row>
    <row r="560" spans="2:17">
      <c r="B560" s="334"/>
      <c r="C560" s="725">
        <f>IF(D526="","-",+C559+1)</f>
        <v>2044</v>
      </c>
      <c r="D560" s="676">
        <f t="shared" si="54"/>
        <v>1803642.2090395489</v>
      </c>
      <c r="E560" s="732">
        <f t="shared" si="55"/>
        <v>56510.983050847455</v>
      </c>
      <c r="F560" s="732">
        <f t="shared" si="48"/>
        <v>1747131.2259887015</v>
      </c>
      <c r="G560" s="676">
        <f t="shared" si="49"/>
        <v>1775386.7175141252</v>
      </c>
      <c r="H560" s="726">
        <f>+J527*G560+E560</f>
        <v>248086.53596837688</v>
      </c>
      <c r="I560" s="733">
        <f>+J528*G560+E560</f>
        <v>248086.53596837688</v>
      </c>
      <c r="J560" s="729">
        <f t="shared" si="50"/>
        <v>0</v>
      </c>
      <c r="K560" s="729"/>
      <c r="L560" s="734"/>
      <c r="M560" s="729">
        <f t="shared" si="51"/>
        <v>0</v>
      </c>
      <c r="N560" s="734"/>
      <c r="O560" s="729">
        <f t="shared" si="52"/>
        <v>0</v>
      </c>
      <c r="P560" s="729">
        <f t="shared" si="53"/>
        <v>0</v>
      </c>
      <c r="Q560" s="677"/>
    </row>
    <row r="561" spans="2:17">
      <c r="B561" s="334"/>
      <c r="C561" s="725">
        <f>IF(D526="","-",+C560+1)</f>
        <v>2045</v>
      </c>
      <c r="D561" s="676">
        <f t="shared" si="54"/>
        <v>1747131.2259887015</v>
      </c>
      <c r="E561" s="732">
        <f t="shared" si="55"/>
        <v>56510.983050847455</v>
      </c>
      <c r="F561" s="732">
        <f t="shared" si="48"/>
        <v>1690620.242937854</v>
      </c>
      <c r="G561" s="676">
        <f t="shared" si="49"/>
        <v>1718875.7344632777</v>
      </c>
      <c r="H561" s="726">
        <f>+J527*G561+E561</f>
        <v>241988.64038479506</v>
      </c>
      <c r="I561" s="733">
        <f>+J528*G561+E561</f>
        <v>241988.64038479506</v>
      </c>
      <c r="J561" s="729">
        <f t="shared" si="50"/>
        <v>0</v>
      </c>
      <c r="K561" s="729"/>
      <c r="L561" s="734"/>
      <c r="M561" s="729">
        <f t="shared" si="51"/>
        <v>0</v>
      </c>
      <c r="N561" s="734"/>
      <c r="O561" s="729">
        <f t="shared" si="52"/>
        <v>0</v>
      </c>
      <c r="P561" s="729">
        <f t="shared" si="53"/>
        <v>0</v>
      </c>
      <c r="Q561" s="677"/>
    </row>
    <row r="562" spans="2:17">
      <c r="B562" s="334"/>
      <c r="C562" s="725">
        <f>IF(D526="","-",+C561+1)</f>
        <v>2046</v>
      </c>
      <c r="D562" s="676">
        <f t="shared" si="54"/>
        <v>1690620.242937854</v>
      </c>
      <c r="E562" s="732">
        <f t="shared" si="55"/>
        <v>56510.983050847455</v>
      </c>
      <c r="F562" s="732">
        <f t="shared" si="48"/>
        <v>1634109.2598870066</v>
      </c>
      <c r="G562" s="676">
        <f t="shared" si="49"/>
        <v>1662364.7514124303</v>
      </c>
      <c r="H562" s="726">
        <f>+J527*G562+E562</f>
        <v>235890.74480121324</v>
      </c>
      <c r="I562" s="733">
        <f>+J528*G562+E562</f>
        <v>235890.74480121324</v>
      </c>
      <c r="J562" s="729">
        <f t="shared" si="50"/>
        <v>0</v>
      </c>
      <c r="K562" s="729"/>
      <c r="L562" s="734"/>
      <c r="M562" s="729">
        <f t="shared" si="51"/>
        <v>0</v>
      </c>
      <c r="N562" s="734"/>
      <c r="O562" s="729">
        <f t="shared" si="52"/>
        <v>0</v>
      </c>
      <c r="P562" s="729">
        <f t="shared" si="53"/>
        <v>0</v>
      </c>
      <c r="Q562" s="677"/>
    </row>
    <row r="563" spans="2:17">
      <c r="B563" s="334"/>
      <c r="C563" s="725">
        <f>IF(D526="","-",+C562+1)</f>
        <v>2047</v>
      </c>
      <c r="D563" s="676">
        <f t="shared" si="54"/>
        <v>1634109.2598870066</v>
      </c>
      <c r="E563" s="732">
        <f t="shared" si="55"/>
        <v>56510.983050847455</v>
      </c>
      <c r="F563" s="732">
        <f t="shared" si="48"/>
        <v>1577598.2768361592</v>
      </c>
      <c r="G563" s="676">
        <f t="shared" si="49"/>
        <v>1605853.7683615829</v>
      </c>
      <c r="H563" s="726">
        <f>+J527*G563+E563</f>
        <v>229792.84921763139</v>
      </c>
      <c r="I563" s="733">
        <f>+J528*G563+E563</f>
        <v>229792.84921763139</v>
      </c>
      <c r="J563" s="729">
        <f t="shared" si="50"/>
        <v>0</v>
      </c>
      <c r="K563" s="729"/>
      <c r="L563" s="734"/>
      <c r="M563" s="729">
        <f t="shared" si="51"/>
        <v>0</v>
      </c>
      <c r="N563" s="734"/>
      <c r="O563" s="729">
        <f t="shared" si="52"/>
        <v>0</v>
      </c>
      <c r="P563" s="729">
        <f t="shared" si="53"/>
        <v>0</v>
      </c>
      <c r="Q563" s="677"/>
    </row>
    <row r="564" spans="2:17">
      <c r="B564" s="334"/>
      <c r="C564" s="725">
        <f>IF(D526="","-",+C563+1)</f>
        <v>2048</v>
      </c>
      <c r="D564" s="676">
        <f t="shared" si="54"/>
        <v>1577598.2768361592</v>
      </c>
      <c r="E564" s="732">
        <f t="shared" si="55"/>
        <v>56510.983050847455</v>
      </c>
      <c r="F564" s="732">
        <f t="shared" si="48"/>
        <v>1521087.2937853117</v>
      </c>
      <c r="G564" s="676">
        <f t="shared" si="49"/>
        <v>1549342.7853107355</v>
      </c>
      <c r="H564" s="726">
        <f>+J527*G564+E564</f>
        <v>223694.95363404957</v>
      </c>
      <c r="I564" s="733">
        <f>+J528*G564+E564</f>
        <v>223694.95363404957</v>
      </c>
      <c r="J564" s="729">
        <f t="shared" si="50"/>
        <v>0</v>
      </c>
      <c r="K564" s="729"/>
      <c r="L564" s="734"/>
      <c r="M564" s="729">
        <f t="shared" si="51"/>
        <v>0</v>
      </c>
      <c r="N564" s="734"/>
      <c r="O564" s="729">
        <f t="shared" si="52"/>
        <v>0</v>
      </c>
      <c r="P564" s="729">
        <f t="shared" si="53"/>
        <v>0</v>
      </c>
      <c r="Q564" s="677"/>
    </row>
    <row r="565" spans="2:17">
      <c r="B565" s="334"/>
      <c r="C565" s="725">
        <f>IF(D526="","-",+C564+1)</f>
        <v>2049</v>
      </c>
      <c r="D565" s="676">
        <f t="shared" si="54"/>
        <v>1521087.2937853117</v>
      </c>
      <c r="E565" s="732">
        <f t="shared" si="55"/>
        <v>56510.983050847455</v>
      </c>
      <c r="F565" s="732">
        <f t="shared" si="48"/>
        <v>1464576.3107344643</v>
      </c>
      <c r="G565" s="676">
        <f t="shared" si="49"/>
        <v>1492831.802259888</v>
      </c>
      <c r="H565" s="726">
        <f>+J527*G565+E565</f>
        <v>217597.05805046772</v>
      </c>
      <c r="I565" s="733">
        <f>+J528*G565+E565</f>
        <v>217597.05805046772</v>
      </c>
      <c r="J565" s="729">
        <f t="shared" si="50"/>
        <v>0</v>
      </c>
      <c r="K565" s="729"/>
      <c r="L565" s="734"/>
      <c r="M565" s="729">
        <f t="shared" si="51"/>
        <v>0</v>
      </c>
      <c r="N565" s="734"/>
      <c r="O565" s="729">
        <f t="shared" si="52"/>
        <v>0</v>
      </c>
      <c r="P565" s="729">
        <f t="shared" si="53"/>
        <v>0</v>
      </c>
      <c r="Q565" s="677"/>
    </row>
    <row r="566" spans="2:17">
      <c r="B566" s="334"/>
      <c r="C566" s="725">
        <f>IF(D526="","-",+C565+1)</f>
        <v>2050</v>
      </c>
      <c r="D566" s="676">
        <f t="shared" si="54"/>
        <v>1464576.3107344643</v>
      </c>
      <c r="E566" s="732">
        <f t="shared" si="55"/>
        <v>56510.983050847455</v>
      </c>
      <c r="F566" s="732">
        <f t="shared" si="48"/>
        <v>1408065.3276836169</v>
      </c>
      <c r="G566" s="676">
        <f t="shared" si="49"/>
        <v>1436320.8192090406</v>
      </c>
      <c r="H566" s="726">
        <f>+J527*G566+E566</f>
        <v>211499.1624668859</v>
      </c>
      <c r="I566" s="733">
        <f>+J528*G566+E566</f>
        <v>211499.1624668859</v>
      </c>
      <c r="J566" s="729">
        <f t="shared" si="50"/>
        <v>0</v>
      </c>
      <c r="K566" s="729"/>
      <c r="L566" s="734"/>
      <c r="M566" s="729">
        <f t="shared" si="51"/>
        <v>0</v>
      </c>
      <c r="N566" s="734"/>
      <c r="O566" s="729">
        <f t="shared" si="52"/>
        <v>0</v>
      </c>
      <c r="P566" s="729">
        <f t="shared" si="53"/>
        <v>0</v>
      </c>
      <c r="Q566" s="677"/>
    </row>
    <row r="567" spans="2:17">
      <c r="B567" s="334"/>
      <c r="C567" s="725">
        <f>IF(D526="","-",+C566+1)</f>
        <v>2051</v>
      </c>
      <c r="D567" s="676">
        <f t="shared" si="54"/>
        <v>1408065.3276836169</v>
      </c>
      <c r="E567" s="732">
        <f t="shared" si="55"/>
        <v>56510.983050847455</v>
      </c>
      <c r="F567" s="732">
        <f t="shared" si="48"/>
        <v>1351554.3446327695</v>
      </c>
      <c r="G567" s="676">
        <f t="shared" si="49"/>
        <v>1379809.8361581932</v>
      </c>
      <c r="H567" s="726">
        <f>+J527*G567+E567</f>
        <v>205401.26688330405</v>
      </c>
      <c r="I567" s="733">
        <f>+J528*G567+E567</f>
        <v>205401.26688330405</v>
      </c>
      <c r="J567" s="729">
        <f t="shared" si="50"/>
        <v>0</v>
      </c>
      <c r="K567" s="729"/>
      <c r="L567" s="734"/>
      <c r="M567" s="729">
        <f t="shared" si="51"/>
        <v>0</v>
      </c>
      <c r="N567" s="734"/>
      <c r="O567" s="729">
        <f t="shared" si="52"/>
        <v>0</v>
      </c>
      <c r="P567" s="729">
        <f t="shared" si="53"/>
        <v>0</v>
      </c>
      <c r="Q567" s="677"/>
    </row>
    <row r="568" spans="2:17">
      <c r="B568" s="334"/>
      <c r="C568" s="725">
        <f>IF(D526="","-",+C567+1)</f>
        <v>2052</v>
      </c>
      <c r="D568" s="676">
        <f t="shared" si="54"/>
        <v>1351554.3446327695</v>
      </c>
      <c r="E568" s="732">
        <f t="shared" si="55"/>
        <v>56510.983050847455</v>
      </c>
      <c r="F568" s="732">
        <f t="shared" si="48"/>
        <v>1295043.361581922</v>
      </c>
      <c r="G568" s="676">
        <f t="shared" si="49"/>
        <v>1323298.8531073458</v>
      </c>
      <c r="H568" s="726">
        <f>+J527*G568+E568</f>
        <v>199303.37129972223</v>
      </c>
      <c r="I568" s="733">
        <f>+J528*G568+E568</f>
        <v>199303.37129972223</v>
      </c>
      <c r="J568" s="729">
        <f t="shared" si="50"/>
        <v>0</v>
      </c>
      <c r="K568" s="729"/>
      <c r="L568" s="734"/>
      <c r="M568" s="729">
        <f t="shared" si="51"/>
        <v>0</v>
      </c>
      <c r="N568" s="734"/>
      <c r="O568" s="729">
        <f t="shared" si="52"/>
        <v>0</v>
      </c>
      <c r="P568" s="729">
        <f t="shared" si="53"/>
        <v>0</v>
      </c>
      <c r="Q568" s="677"/>
    </row>
    <row r="569" spans="2:17">
      <c r="B569" s="334"/>
      <c r="C569" s="725">
        <f>IF(D526="","-",+C568+1)</f>
        <v>2053</v>
      </c>
      <c r="D569" s="676">
        <f t="shared" si="54"/>
        <v>1295043.361581922</v>
      </c>
      <c r="E569" s="732">
        <f t="shared" si="55"/>
        <v>56510.983050847455</v>
      </c>
      <c r="F569" s="732">
        <f t="shared" si="48"/>
        <v>1238532.3785310746</v>
      </c>
      <c r="G569" s="676">
        <f t="shared" si="49"/>
        <v>1266787.8700564983</v>
      </c>
      <c r="H569" s="726">
        <f>+J527*G569+E569</f>
        <v>193205.47571614041</v>
      </c>
      <c r="I569" s="733">
        <f>+J528*G569+E569</f>
        <v>193205.47571614041</v>
      </c>
      <c r="J569" s="729">
        <f t="shared" si="50"/>
        <v>0</v>
      </c>
      <c r="K569" s="729"/>
      <c r="L569" s="734"/>
      <c r="M569" s="729">
        <f t="shared" si="51"/>
        <v>0</v>
      </c>
      <c r="N569" s="734"/>
      <c r="O569" s="729">
        <f t="shared" si="52"/>
        <v>0</v>
      </c>
      <c r="P569" s="729">
        <f t="shared" si="53"/>
        <v>0</v>
      </c>
      <c r="Q569" s="677"/>
    </row>
    <row r="570" spans="2:17">
      <c r="B570" s="334"/>
      <c r="C570" s="725">
        <f>IF(D526="","-",+C569+1)</f>
        <v>2054</v>
      </c>
      <c r="D570" s="676">
        <f t="shared" si="54"/>
        <v>1238532.3785310746</v>
      </c>
      <c r="E570" s="732">
        <f t="shared" si="55"/>
        <v>56510.983050847455</v>
      </c>
      <c r="F570" s="732">
        <f t="shared" si="48"/>
        <v>1182021.3954802272</v>
      </c>
      <c r="G570" s="676">
        <f t="shared" si="49"/>
        <v>1210276.8870056509</v>
      </c>
      <c r="H570" s="726">
        <f>+J527*G570+E570</f>
        <v>187107.58013255856</v>
      </c>
      <c r="I570" s="733">
        <f>+J528*G570+E570</f>
        <v>187107.58013255856</v>
      </c>
      <c r="J570" s="729">
        <f t="shared" si="50"/>
        <v>0</v>
      </c>
      <c r="K570" s="729"/>
      <c r="L570" s="734"/>
      <c r="M570" s="729">
        <f t="shared" si="51"/>
        <v>0</v>
      </c>
      <c r="N570" s="734"/>
      <c r="O570" s="729">
        <f t="shared" si="52"/>
        <v>0</v>
      </c>
      <c r="P570" s="729">
        <f t="shared" si="53"/>
        <v>0</v>
      </c>
      <c r="Q570" s="677"/>
    </row>
    <row r="571" spans="2:17">
      <c r="B571" s="334"/>
      <c r="C571" s="725">
        <f>IF(D526="","-",+C570+1)</f>
        <v>2055</v>
      </c>
      <c r="D571" s="676">
        <f t="shared" si="54"/>
        <v>1182021.3954802272</v>
      </c>
      <c r="E571" s="732">
        <f t="shared" si="55"/>
        <v>56510.983050847455</v>
      </c>
      <c r="F571" s="732">
        <f t="shared" si="48"/>
        <v>1125510.4124293798</v>
      </c>
      <c r="G571" s="676">
        <f t="shared" si="49"/>
        <v>1153765.9039548035</v>
      </c>
      <c r="H571" s="726">
        <f>+J527*G571+E571</f>
        <v>181009.68454897671</v>
      </c>
      <c r="I571" s="733">
        <f>+J528*G571+E571</f>
        <v>181009.68454897671</v>
      </c>
      <c r="J571" s="729">
        <f t="shared" si="50"/>
        <v>0</v>
      </c>
      <c r="K571" s="729"/>
      <c r="L571" s="734"/>
      <c r="M571" s="729">
        <f t="shared" si="51"/>
        <v>0</v>
      </c>
      <c r="N571" s="734"/>
      <c r="O571" s="729">
        <f t="shared" si="52"/>
        <v>0</v>
      </c>
      <c r="P571" s="729">
        <f t="shared" si="53"/>
        <v>0</v>
      </c>
      <c r="Q571" s="677"/>
    </row>
    <row r="572" spans="2:17">
      <c r="B572" s="334"/>
      <c r="C572" s="725">
        <f>IF(D526="","-",+C571+1)</f>
        <v>2056</v>
      </c>
      <c r="D572" s="676">
        <f t="shared" si="54"/>
        <v>1125510.4124293798</v>
      </c>
      <c r="E572" s="732">
        <f t="shared" si="55"/>
        <v>56510.983050847455</v>
      </c>
      <c r="F572" s="732">
        <f t="shared" si="48"/>
        <v>1068999.4293785323</v>
      </c>
      <c r="G572" s="676">
        <f t="shared" si="49"/>
        <v>1097254.9209039561</v>
      </c>
      <c r="H572" s="726">
        <f>+J527*G572+E572</f>
        <v>174911.7889653949</v>
      </c>
      <c r="I572" s="733">
        <f>+J528*G572+E572</f>
        <v>174911.7889653949</v>
      </c>
      <c r="J572" s="729">
        <f t="shared" si="50"/>
        <v>0</v>
      </c>
      <c r="K572" s="729"/>
      <c r="L572" s="734"/>
      <c r="M572" s="729">
        <f t="shared" si="51"/>
        <v>0</v>
      </c>
      <c r="N572" s="734"/>
      <c r="O572" s="729">
        <f t="shared" si="52"/>
        <v>0</v>
      </c>
      <c r="P572" s="729">
        <f t="shared" si="53"/>
        <v>0</v>
      </c>
      <c r="Q572" s="677"/>
    </row>
    <row r="573" spans="2:17">
      <c r="B573" s="334"/>
      <c r="C573" s="725">
        <f>IF(D526="","-",+C572+1)</f>
        <v>2057</v>
      </c>
      <c r="D573" s="676">
        <f t="shared" si="54"/>
        <v>1068999.4293785323</v>
      </c>
      <c r="E573" s="732">
        <f t="shared" si="55"/>
        <v>56510.983050847455</v>
      </c>
      <c r="F573" s="732">
        <f t="shared" si="48"/>
        <v>1012488.4463276849</v>
      </c>
      <c r="G573" s="676">
        <f t="shared" si="49"/>
        <v>1040743.9378531086</v>
      </c>
      <c r="H573" s="726">
        <f>+J527*G573+E573</f>
        <v>168813.89338181308</v>
      </c>
      <c r="I573" s="733">
        <f>+J528*G573+E573</f>
        <v>168813.89338181308</v>
      </c>
      <c r="J573" s="729">
        <f t="shared" si="50"/>
        <v>0</v>
      </c>
      <c r="K573" s="729"/>
      <c r="L573" s="734"/>
      <c r="M573" s="729">
        <f t="shared" si="51"/>
        <v>0</v>
      </c>
      <c r="N573" s="734"/>
      <c r="O573" s="729">
        <f t="shared" si="52"/>
        <v>0</v>
      </c>
      <c r="P573" s="729">
        <f t="shared" si="53"/>
        <v>0</v>
      </c>
      <c r="Q573" s="677"/>
    </row>
    <row r="574" spans="2:17">
      <c r="B574" s="334"/>
      <c r="C574" s="725">
        <f>IF(D526="","-",+C573+1)</f>
        <v>2058</v>
      </c>
      <c r="D574" s="676">
        <f t="shared" si="54"/>
        <v>1012488.4463276849</v>
      </c>
      <c r="E574" s="732">
        <f t="shared" si="55"/>
        <v>56510.983050847455</v>
      </c>
      <c r="F574" s="732">
        <f t="shared" si="48"/>
        <v>955977.46327683749</v>
      </c>
      <c r="G574" s="676">
        <f t="shared" si="49"/>
        <v>984232.9548022612</v>
      </c>
      <c r="H574" s="726">
        <f>+J527*G574+E574</f>
        <v>162715.99779823126</v>
      </c>
      <c r="I574" s="733">
        <f>+J528*G574+E574</f>
        <v>162715.99779823126</v>
      </c>
      <c r="J574" s="729">
        <f t="shared" si="50"/>
        <v>0</v>
      </c>
      <c r="K574" s="729"/>
      <c r="L574" s="734"/>
      <c r="M574" s="729">
        <f t="shared" si="51"/>
        <v>0</v>
      </c>
      <c r="N574" s="734"/>
      <c r="O574" s="729">
        <f t="shared" si="52"/>
        <v>0</v>
      </c>
      <c r="P574" s="729">
        <f t="shared" si="53"/>
        <v>0</v>
      </c>
      <c r="Q574" s="677"/>
    </row>
    <row r="575" spans="2:17">
      <c r="B575" s="334"/>
      <c r="C575" s="725">
        <f>IF(D526="","-",+C574+1)</f>
        <v>2059</v>
      </c>
      <c r="D575" s="676">
        <f t="shared" si="54"/>
        <v>955977.46327683749</v>
      </c>
      <c r="E575" s="732">
        <f t="shared" si="55"/>
        <v>56510.983050847455</v>
      </c>
      <c r="F575" s="732">
        <f t="shared" si="48"/>
        <v>899466.48022599006</v>
      </c>
      <c r="G575" s="676">
        <f t="shared" si="49"/>
        <v>927721.97175141377</v>
      </c>
      <c r="H575" s="726">
        <f>+J527*G575+E575</f>
        <v>156618.10221464941</v>
      </c>
      <c r="I575" s="733">
        <f>+J528*G575+E575</f>
        <v>156618.10221464941</v>
      </c>
      <c r="J575" s="729">
        <f t="shared" si="50"/>
        <v>0</v>
      </c>
      <c r="K575" s="729"/>
      <c r="L575" s="734"/>
      <c r="M575" s="729">
        <f t="shared" si="51"/>
        <v>0</v>
      </c>
      <c r="N575" s="734"/>
      <c r="O575" s="729">
        <f t="shared" si="52"/>
        <v>0</v>
      </c>
      <c r="P575" s="729">
        <f t="shared" si="53"/>
        <v>0</v>
      </c>
      <c r="Q575" s="677"/>
    </row>
    <row r="576" spans="2:17">
      <c r="B576" s="334"/>
      <c r="C576" s="725">
        <f>IF(D526="","-",+C575+1)</f>
        <v>2060</v>
      </c>
      <c r="D576" s="676">
        <f t="shared" si="54"/>
        <v>899466.48022599006</v>
      </c>
      <c r="E576" s="732">
        <f t="shared" si="55"/>
        <v>56510.983050847455</v>
      </c>
      <c r="F576" s="732">
        <f t="shared" si="48"/>
        <v>842955.49717514263</v>
      </c>
      <c r="G576" s="676">
        <f t="shared" si="49"/>
        <v>871210.98870056635</v>
      </c>
      <c r="H576" s="726">
        <f>+J527*G576+E576</f>
        <v>150520.20663106756</v>
      </c>
      <c r="I576" s="733">
        <f>+J528*G576+E576</f>
        <v>150520.20663106756</v>
      </c>
      <c r="J576" s="729">
        <f t="shared" si="50"/>
        <v>0</v>
      </c>
      <c r="K576" s="729"/>
      <c r="L576" s="734"/>
      <c r="M576" s="729">
        <f t="shared" si="51"/>
        <v>0</v>
      </c>
      <c r="N576" s="734"/>
      <c r="O576" s="729">
        <f t="shared" si="52"/>
        <v>0</v>
      </c>
      <c r="P576" s="729">
        <f t="shared" si="53"/>
        <v>0</v>
      </c>
      <c r="Q576" s="677"/>
    </row>
    <row r="577" spans="2:17">
      <c r="B577" s="334"/>
      <c r="C577" s="725">
        <f>IF(D526="","-",+C576+1)</f>
        <v>2061</v>
      </c>
      <c r="D577" s="676">
        <f t="shared" si="54"/>
        <v>842955.49717514263</v>
      </c>
      <c r="E577" s="732">
        <f t="shared" si="55"/>
        <v>56510.983050847455</v>
      </c>
      <c r="F577" s="732">
        <f t="shared" si="48"/>
        <v>786444.51412429521</v>
      </c>
      <c r="G577" s="676">
        <f t="shared" si="49"/>
        <v>814700.00564971892</v>
      </c>
      <c r="H577" s="726">
        <f>+J527*G577+E577</f>
        <v>144422.31104748574</v>
      </c>
      <c r="I577" s="733">
        <f>+J528*G577+E577</f>
        <v>144422.31104748574</v>
      </c>
      <c r="J577" s="729">
        <f t="shared" si="50"/>
        <v>0</v>
      </c>
      <c r="K577" s="729"/>
      <c r="L577" s="734"/>
      <c r="M577" s="729">
        <f t="shared" si="51"/>
        <v>0</v>
      </c>
      <c r="N577" s="734"/>
      <c r="O577" s="729">
        <f t="shared" si="52"/>
        <v>0</v>
      </c>
      <c r="P577" s="729">
        <f t="shared" si="53"/>
        <v>0</v>
      </c>
      <c r="Q577" s="677"/>
    </row>
    <row r="578" spans="2:17">
      <c r="B578" s="334"/>
      <c r="C578" s="725">
        <f>IF(D526="","-",+C577+1)</f>
        <v>2062</v>
      </c>
      <c r="D578" s="676">
        <f t="shared" si="54"/>
        <v>786444.51412429521</v>
      </c>
      <c r="E578" s="732">
        <f t="shared" si="55"/>
        <v>56510.983050847455</v>
      </c>
      <c r="F578" s="732">
        <f t="shared" si="48"/>
        <v>729933.53107344778</v>
      </c>
      <c r="G578" s="676">
        <f t="shared" si="49"/>
        <v>758189.0225988715</v>
      </c>
      <c r="H578" s="726">
        <f>+J527*G578+E578</f>
        <v>138324.41546390392</v>
      </c>
      <c r="I578" s="733">
        <f>+J528*G578+E578</f>
        <v>138324.41546390392</v>
      </c>
      <c r="J578" s="729">
        <f t="shared" si="50"/>
        <v>0</v>
      </c>
      <c r="K578" s="729"/>
      <c r="L578" s="734"/>
      <c r="M578" s="729">
        <f t="shared" si="51"/>
        <v>0</v>
      </c>
      <c r="N578" s="734"/>
      <c r="O578" s="729">
        <f t="shared" si="52"/>
        <v>0</v>
      </c>
      <c r="P578" s="729">
        <f t="shared" si="53"/>
        <v>0</v>
      </c>
      <c r="Q578" s="677"/>
    </row>
    <row r="579" spans="2:17">
      <c r="B579" s="334"/>
      <c r="C579" s="725">
        <f>IF(D526="","-",+C578+1)</f>
        <v>2063</v>
      </c>
      <c r="D579" s="676">
        <f t="shared" si="54"/>
        <v>729933.53107344778</v>
      </c>
      <c r="E579" s="732">
        <f t="shared" si="55"/>
        <v>56510.983050847455</v>
      </c>
      <c r="F579" s="732">
        <f t="shared" si="48"/>
        <v>673422.54802260036</v>
      </c>
      <c r="G579" s="676">
        <f t="shared" si="49"/>
        <v>701678.03954802407</v>
      </c>
      <c r="H579" s="726">
        <f>+J527*G579+E579</f>
        <v>132226.51988032207</v>
      </c>
      <c r="I579" s="733">
        <f>+J528*G579+E579</f>
        <v>132226.51988032207</v>
      </c>
      <c r="J579" s="729">
        <f t="shared" si="50"/>
        <v>0</v>
      </c>
      <c r="K579" s="729"/>
      <c r="L579" s="734"/>
      <c r="M579" s="729">
        <f t="shared" si="51"/>
        <v>0</v>
      </c>
      <c r="N579" s="734"/>
      <c r="O579" s="729">
        <f t="shared" si="52"/>
        <v>0</v>
      </c>
      <c r="P579" s="729">
        <f t="shared" si="53"/>
        <v>0</v>
      </c>
      <c r="Q579" s="677"/>
    </row>
    <row r="580" spans="2:17">
      <c r="B580" s="334"/>
      <c r="C580" s="725">
        <f>IF(D526="","-",+C579+1)</f>
        <v>2064</v>
      </c>
      <c r="D580" s="676">
        <f t="shared" si="54"/>
        <v>673422.54802260036</v>
      </c>
      <c r="E580" s="732">
        <f t="shared" si="55"/>
        <v>56510.983050847455</v>
      </c>
      <c r="F580" s="732">
        <f t="shared" si="48"/>
        <v>616911.56497175293</v>
      </c>
      <c r="G580" s="676">
        <f t="shared" si="49"/>
        <v>645167.05649717664</v>
      </c>
      <c r="H580" s="726">
        <f>+J527*G580+E580</f>
        <v>126128.62429674024</v>
      </c>
      <c r="I580" s="733">
        <f>+J528*G580+E580</f>
        <v>126128.62429674024</v>
      </c>
      <c r="J580" s="729">
        <f t="shared" si="50"/>
        <v>0</v>
      </c>
      <c r="K580" s="729"/>
      <c r="L580" s="734"/>
      <c r="M580" s="729">
        <f t="shared" si="51"/>
        <v>0</v>
      </c>
      <c r="N580" s="734"/>
      <c r="O580" s="729">
        <f t="shared" si="52"/>
        <v>0</v>
      </c>
      <c r="P580" s="729">
        <f t="shared" si="53"/>
        <v>0</v>
      </c>
      <c r="Q580" s="677"/>
    </row>
    <row r="581" spans="2:17">
      <c r="B581" s="334"/>
      <c r="C581" s="725">
        <f>IF(D526="","-",+C580+1)</f>
        <v>2065</v>
      </c>
      <c r="D581" s="676">
        <f t="shared" si="54"/>
        <v>616911.56497175293</v>
      </c>
      <c r="E581" s="732">
        <f t="shared" si="55"/>
        <v>56510.983050847455</v>
      </c>
      <c r="F581" s="732">
        <f t="shared" si="48"/>
        <v>560400.5819209055</v>
      </c>
      <c r="G581" s="676">
        <f t="shared" si="49"/>
        <v>588656.07344632922</v>
      </c>
      <c r="H581" s="726">
        <f>+J527*G581+E581</f>
        <v>120030.7287131584</v>
      </c>
      <c r="I581" s="733">
        <f>+J528*G581+E581</f>
        <v>120030.7287131584</v>
      </c>
      <c r="J581" s="729">
        <f t="shared" si="50"/>
        <v>0</v>
      </c>
      <c r="K581" s="729"/>
      <c r="L581" s="734"/>
      <c r="M581" s="729">
        <f t="shared" si="51"/>
        <v>0</v>
      </c>
      <c r="N581" s="734"/>
      <c r="O581" s="729">
        <f t="shared" si="52"/>
        <v>0</v>
      </c>
      <c r="P581" s="729">
        <f t="shared" si="53"/>
        <v>0</v>
      </c>
      <c r="Q581" s="677"/>
    </row>
    <row r="582" spans="2:17">
      <c r="B582" s="334"/>
      <c r="C582" s="725">
        <f>IF(D526="","-",+C581+1)</f>
        <v>2066</v>
      </c>
      <c r="D582" s="676">
        <f t="shared" si="54"/>
        <v>560400.5819209055</v>
      </c>
      <c r="E582" s="732">
        <f t="shared" si="55"/>
        <v>56510.983050847455</v>
      </c>
      <c r="F582" s="732">
        <f t="shared" si="48"/>
        <v>503889.59887005808</v>
      </c>
      <c r="G582" s="676">
        <f t="shared" si="49"/>
        <v>532145.09039548179</v>
      </c>
      <c r="H582" s="726">
        <f>+J527*G582+E582</f>
        <v>113932.83312957658</v>
      </c>
      <c r="I582" s="733">
        <f>+J528*G582+E582</f>
        <v>113932.83312957658</v>
      </c>
      <c r="J582" s="729">
        <f t="shared" si="50"/>
        <v>0</v>
      </c>
      <c r="K582" s="729"/>
      <c r="L582" s="734"/>
      <c r="M582" s="729">
        <f t="shared" si="51"/>
        <v>0</v>
      </c>
      <c r="N582" s="734"/>
      <c r="O582" s="729">
        <f t="shared" si="52"/>
        <v>0</v>
      </c>
      <c r="P582" s="729">
        <f t="shared" si="53"/>
        <v>0</v>
      </c>
      <c r="Q582" s="677"/>
    </row>
    <row r="583" spans="2:17">
      <c r="B583" s="334"/>
      <c r="C583" s="725">
        <f>IF(D526="","-",+C582+1)</f>
        <v>2067</v>
      </c>
      <c r="D583" s="676">
        <f t="shared" si="54"/>
        <v>503889.59887005808</v>
      </c>
      <c r="E583" s="732">
        <f t="shared" si="55"/>
        <v>56510.983050847455</v>
      </c>
      <c r="F583" s="732">
        <f t="shared" si="48"/>
        <v>447378.61581921065</v>
      </c>
      <c r="G583" s="676">
        <f t="shared" si="49"/>
        <v>475634.10734463437</v>
      </c>
      <c r="H583" s="726">
        <f>+J527*G583+E583</f>
        <v>107834.93754599475</v>
      </c>
      <c r="I583" s="733">
        <f>+J528*G583+E583</f>
        <v>107834.93754599475</v>
      </c>
      <c r="J583" s="729">
        <f t="shared" si="50"/>
        <v>0</v>
      </c>
      <c r="K583" s="729"/>
      <c r="L583" s="734"/>
      <c r="M583" s="729">
        <f t="shared" si="51"/>
        <v>0</v>
      </c>
      <c r="N583" s="734"/>
      <c r="O583" s="729">
        <f t="shared" si="52"/>
        <v>0</v>
      </c>
      <c r="P583" s="729">
        <f t="shared" si="53"/>
        <v>0</v>
      </c>
      <c r="Q583" s="677"/>
    </row>
    <row r="584" spans="2:17">
      <c r="B584" s="334"/>
      <c r="C584" s="725">
        <f>IF(D526="","-",+C583+1)</f>
        <v>2068</v>
      </c>
      <c r="D584" s="676">
        <f t="shared" si="54"/>
        <v>447378.61581921065</v>
      </c>
      <c r="E584" s="732">
        <f t="shared" si="55"/>
        <v>56510.983050847455</v>
      </c>
      <c r="F584" s="732">
        <f t="shared" si="48"/>
        <v>390867.63276836323</v>
      </c>
      <c r="G584" s="676">
        <f t="shared" si="49"/>
        <v>419123.12429378694</v>
      </c>
      <c r="H584" s="726">
        <f>+J527*G584+E584</f>
        <v>101737.04196241291</v>
      </c>
      <c r="I584" s="733">
        <f>+J528*G584+E584</f>
        <v>101737.04196241291</v>
      </c>
      <c r="J584" s="729">
        <f t="shared" si="50"/>
        <v>0</v>
      </c>
      <c r="K584" s="729"/>
      <c r="L584" s="734"/>
      <c r="M584" s="729">
        <f t="shared" si="51"/>
        <v>0</v>
      </c>
      <c r="N584" s="734"/>
      <c r="O584" s="729">
        <f t="shared" si="52"/>
        <v>0</v>
      </c>
      <c r="P584" s="729">
        <f t="shared" si="53"/>
        <v>0</v>
      </c>
      <c r="Q584" s="677"/>
    </row>
    <row r="585" spans="2:17">
      <c r="B585" s="334"/>
      <c r="C585" s="725">
        <f>IF(D526="","-",+C584+1)</f>
        <v>2069</v>
      </c>
      <c r="D585" s="676">
        <f t="shared" si="54"/>
        <v>390867.63276836323</v>
      </c>
      <c r="E585" s="732">
        <f t="shared" si="55"/>
        <v>56510.983050847455</v>
      </c>
      <c r="F585" s="732">
        <f t="shared" si="48"/>
        <v>334356.6497175158</v>
      </c>
      <c r="G585" s="676">
        <f t="shared" si="49"/>
        <v>362612.14124293951</v>
      </c>
      <c r="H585" s="726">
        <f>+J527*G585+E585</f>
        <v>95639.146378831079</v>
      </c>
      <c r="I585" s="733">
        <f>+J528*G585+E585</f>
        <v>95639.146378831079</v>
      </c>
      <c r="J585" s="729">
        <f t="shared" si="50"/>
        <v>0</v>
      </c>
      <c r="K585" s="729"/>
      <c r="L585" s="734"/>
      <c r="M585" s="729">
        <f t="shared" si="51"/>
        <v>0</v>
      </c>
      <c r="N585" s="734"/>
      <c r="O585" s="729">
        <f t="shared" si="52"/>
        <v>0</v>
      </c>
      <c r="P585" s="729">
        <f t="shared" si="53"/>
        <v>0</v>
      </c>
      <c r="Q585" s="677"/>
    </row>
    <row r="586" spans="2:17">
      <c r="B586" s="334"/>
      <c r="C586" s="725">
        <f>IF(D526="","-",+C585+1)</f>
        <v>2070</v>
      </c>
      <c r="D586" s="676">
        <f t="shared" si="54"/>
        <v>334356.6497175158</v>
      </c>
      <c r="E586" s="732">
        <f t="shared" si="55"/>
        <v>56510.983050847455</v>
      </c>
      <c r="F586" s="732">
        <f t="shared" si="48"/>
        <v>277845.66666666837</v>
      </c>
      <c r="G586" s="676">
        <f t="shared" si="49"/>
        <v>306101.15819209209</v>
      </c>
      <c r="H586" s="726">
        <f>+J527*G586+E586</f>
        <v>89541.250795249245</v>
      </c>
      <c r="I586" s="733">
        <f>+J528*G586+E586</f>
        <v>89541.250795249245</v>
      </c>
      <c r="J586" s="729">
        <f t="shared" si="50"/>
        <v>0</v>
      </c>
      <c r="K586" s="729"/>
      <c r="L586" s="734"/>
      <c r="M586" s="729">
        <f t="shared" si="51"/>
        <v>0</v>
      </c>
      <c r="N586" s="734"/>
      <c r="O586" s="729">
        <f t="shared" si="52"/>
        <v>0</v>
      </c>
      <c r="P586" s="729">
        <f t="shared" si="53"/>
        <v>0</v>
      </c>
      <c r="Q586" s="677"/>
    </row>
    <row r="587" spans="2:17">
      <c r="B587" s="334"/>
      <c r="C587" s="725">
        <f>IF(D526="","-",+C586+1)</f>
        <v>2071</v>
      </c>
      <c r="D587" s="676">
        <f t="shared" si="54"/>
        <v>277845.66666666837</v>
      </c>
      <c r="E587" s="732">
        <f t="shared" si="55"/>
        <v>56510.983050847455</v>
      </c>
      <c r="F587" s="732">
        <f t="shared" si="48"/>
        <v>221334.68361582092</v>
      </c>
      <c r="G587" s="676">
        <f t="shared" si="49"/>
        <v>249590.17514124466</v>
      </c>
      <c r="H587" s="726">
        <f>+J527*G587+E587</f>
        <v>83443.355211667411</v>
      </c>
      <c r="I587" s="733">
        <f>+J528*G587+E587</f>
        <v>83443.355211667411</v>
      </c>
      <c r="J587" s="729">
        <f t="shared" si="50"/>
        <v>0</v>
      </c>
      <c r="K587" s="729"/>
      <c r="L587" s="734"/>
      <c r="M587" s="729">
        <f t="shared" si="51"/>
        <v>0</v>
      </c>
      <c r="N587" s="734"/>
      <c r="O587" s="729">
        <f t="shared" si="52"/>
        <v>0</v>
      </c>
      <c r="P587" s="729">
        <f t="shared" si="53"/>
        <v>0</v>
      </c>
      <c r="Q587" s="677"/>
    </row>
    <row r="588" spans="2:17">
      <c r="B588" s="334"/>
      <c r="C588" s="725">
        <f>IF(D526="","-",+C587+1)</f>
        <v>2072</v>
      </c>
      <c r="D588" s="676">
        <f t="shared" si="54"/>
        <v>221334.68361582092</v>
      </c>
      <c r="E588" s="732">
        <f t="shared" si="55"/>
        <v>56510.983050847455</v>
      </c>
      <c r="F588" s="732">
        <f t="shared" si="48"/>
        <v>164823.70056497346</v>
      </c>
      <c r="G588" s="676">
        <f t="shared" si="49"/>
        <v>193079.19209039718</v>
      </c>
      <c r="H588" s="726">
        <f>+J527*G588+E588</f>
        <v>77345.459628085577</v>
      </c>
      <c r="I588" s="733">
        <f>+J528*G588+E588</f>
        <v>77345.459628085577</v>
      </c>
      <c r="J588" s="729">
        <f t="shared" si="50"/>
        <v>0</v>
      </c>
      <c r="K588" s="729"/>
      <c r="L588" s="734"/>
      <c r="M588" s="729">
        <f t="shared" si="51"/>
        <v>0</v>
      </c>
      <c r="N588" s="734"/>
      <c r="O588" s="729">
        <f t="shared" si="52"/>
        <v>0</v>
      </c>
      <c r="P588" s="729">
        <f t="shared" si="53"/>
        <v>0</v>
      </c>
      <c r="Q588" s="677"/>
    </row>
    <row r="589" spans="2:17">
      <c r="B589" s="334"/>
      <c r="C589" s="725">
        <f>IF(D526="","-",+C588+1)</f>
        <v>2073</v>
      </c>
      <c r="D589" s="676">
        <f t="shared" si="54"/>
        <v>164823.70056497346</v>
      </c>
      <c r="E589" s="732">
        <f t="shared" si="55"/>
        <v>56510.983050847455</v>
      </c>
      <c r="F589" s="732">
        <f t="shared" si="48"/>
        <v>108312.71751412601</v>
      </c>
      <c r="G589" s="676">
        <f t="shared" si="49"/>
        <v>136568.20903954975</v>
      </c>
      <c r="H589" s="726">
        <f>+J527*G589+E589</f>
        <v>71247.564044503742</v>
      </c>
      <c r="I589" s="733">
        <f>+J528*G589+E589</f>
        <v>71247.564044503742</v>
      </c>
      <c r="J589" s="729">
        <f t="shared" si="50"/>
        <v>0</v>
      </c>
      <c r="K589" s="729"/>
      <c r="L589" s="734"/>
      <c r="M589" s="729">
        <f t="shared" si="51"/>
        <v>0</v>
      </c>
      <c r="N589" s="734"/>
      <c r="O589" s="729">
        <f t="shared" si="52"/>
        <v>0</v>
      </c>
      <c r="P589" s="729">
        <f t="shared" si="53"/>
        <v>0</v>
      </c>
      <c r="Q589" s="677"/>
    </row>
    <row r="590" spans="2:17">
      <c r="B590" s="334"/>
      <c r="C590" s="725">
        <f>IF(D526="","-",+C589+1)</f>
        <v>2074</v>
      </c>
      <c r="D590" s="676">
        <f t="shared" si="54"/>
        <v>108312.71751412601</v>
      </c>
      <c r="E590" s="732">
        <f t="shared" si="55"/>
        <v>56510.983050847455</v>
      </c>
      <c r="F590" s="732">
        <f t="shared" si="48"/>
        <v>51801.734463278553</v>
      </c>
      <c r="G590" s="676">
        <f t="shared" si="49"/>
        <v>80057.225988702281</v>
      </c>
      <c r="H590" s="726">
        <f>+J527*G590+E590</f>
        <v>65149.668460921908</v>
      </c>
      <c r="I590" s="733">
        <f>+J528*G590+E590</f>
        <v>65149.668460921908</v>
      </c>
      <c r="J590" s="729">
        <f t="shared" si="50"/>
        <v>0</v>
      </c>
      <c r="K590" s="729"/>
      <c r="L590" s="734"/>
      <c r="M590" s="729">
        <f t="shared" si="51"/>
        <v>0</v>
      </c>
      <c r="N590" s="734"/>
      <c r="O590" s="729">
        <f t="shared" si="52"/>
        <v>0</v>
      </c>
      <c r="P590" s="729">
        <f t="shared" si="53"/>
        <v>0</v>
      </c>
      <c r="Q590" s="677"/>
    </row>
    <row r="591" spans="2:17" ht="13.5" thickBot="1">
      <c r="B591" s="334"/>
      <c r="C591" s="737">
        <f>IF(D526="","-",+C590+1)</f>
        <v>2075</v>
      </c>
      <c r="D591" s="738">
        <f t="shared" si="54"/>
        <v>51801.734463278553</v>
      </c>
      <c r="E591" s="739">
        <f t="shared" si="55"/>
        <v>51801.734463278553</v>
      </c>
      <c r="F591" s="739">
        <f t="shared" si="48"/>
        <v>0</v>
      </c>
      <c r="G591" s="738">
        <f t="shared" si="49"/>
        <v>25900.867231639277</v>
      </c>
      <c r="H591" s="740">
        <f>+J527*G591+E591</f>
        <v>54596.603272420318</v>
      </c>
      <c r="I591" s="740">
        <f>+J528*G591+E591</f>
        <v>54596.603272420318</v>
      </c>
      <c r="J591" s="741">
        <f t="shared" si="50"/>
        <v>0</v>
      </c>
      <c r="K591" s="729"/>
      <c r="L591" s="742"/>
      <c r="M591" s="741">
        <f t="shared" si="51"/>
        <v>0</v>
      </c>
      <c r="N591" s="742"/>
      <c r="O591" s="741">
        <f t="shared" si="52"/>
        <v>0</v>
      </c>
      <c r="P591" s="741">
        <f t="shared" si="53"/>
        <v>0</v>
      </c>
      <c r="Q591" s="677"/>
    </row>
    <row r="592" spans="2:17">
      <c r="B592" s="334"/>
      <c r="C592" s="676" t="s">
        <v>289</v>
      </c>
      <c r="D592" s="672"/>
      <c r="E592" s="672">
        <f>SUM(E532:E591)</f>
        <v>3334148.0000000005</v>
      </c>
      <c r="F592" s="672"/>
      <c r="G592" s="672"/>
      <c r="H592" s="672">
        <f>SUM(H532:H591)</f>
        <v>14277329.782702908</v>
      </c>
      <c r="I592" s="672">
        <f>SUM(I532:I591)</f>
        <v>14277329.782702908</v>
      </c>
      <c r="J592" s="672">
        <f>SUM(J532:J591)</f>
        <v>0</v>
      </c>
      <c r="K592" s="672"/>
      <c r="L592" s="672"/>
      <c r="M592" s="672"/>
      <c r="N592" s="672"/>
      <c r="O592" s="672"/>
      <c r="Q592" s="672"/>
    </row>
    <row r="593" spans="1:17">
      <c r="B593" s="334"/>
      <c r="D593" s="566"/>
      <c r="E593" s="543"/>
      <c r="F593" s="543"/>
      <c r="G593" s="543"/>
      <c r="H593" s="543"/>
      <c r="I593" s="649"/>
      <c r="J593" s="649"/>
      <c r="K593" s="672"/>
      <c r="L593" s="649"/>
      <c r="M593" s="649"/>
      <c r="N593" s="649"/>
      <c r="O593" s="649"/>
      <c r="Q593" s="672"/>
    </row>
    <row r="594" spans="1:17">
      <c r="B594" s="334"/>
      <c r="C594" s="543" t="s">
        <v>602</v>
      </c>
      <c r="D594" s="566"/>
      <c r="E594" s="543"/>
      <c r="F594" s="543"/>
      <c r="G594" s="543"/>
      <c r="H594" s="543"/>
      <c r="I594" s="649"/>
      <c r="J594" s="649"/>
      <c r="K594" s="672"/>
      <c r="L594" s="649"/>
      <c r="M594" s="649"/>
      <c r="N594" s="649"/>
      <c r="O594" s="649"/>
      <c r="Q594" s="672"/>
    </row>
    <row r="595" spans="1:17">
      <c r="B595" s="334"/>
      <c r="D595" s="566"/>
      <c r="E595" s="543"/>
      <c r="F595" s="543"/>
      <c r="G595" s="543"/>
      <c r="H595" s="543"/>
      <c r="I595" s="649"/>
      <c r="J595" s="649"/>
      <c r="K595" s="672"/>
      <c r="L595" s="649"/>
      <c r="M595" s="649"/>
      <c r="N595" s="649"/>
      <c r="O595" s="649"/>
      <c r="Q595" s="672"/>
    </row>
    <row r="596" spans="1:17">
      <c r="B596" s="334"/>
      <c r="C596" s="579" t="s">
        <v>603</v>
      </c>
      <c r="D596" s="676"/>
      <c r="E596" s="676"/>
      <c r="F596" s="676"/>
      <c r="G596" s="676"/>
      <c r="H596" s="672"/>
      <c r="I596" s="672"/>
      <c r="J596" s="677"/>
      <c r="K596" s="677"/>
      <c r="L596" s="677"/>
      <c r="M596" s="677"/>
      <c r="N596" s="677"/>
      <c r="O596" s="677"/>
      <c r="Q596" s="677"/>
    </row>
    <row r="597" spans="1:17">
      <c r="B597" s="334"/>
      <c r="C597" s="579" t="s">
        <v>477</v>
      </c>
      <c r="D597" s="676"/>
      <c r="E597" s="676"/>
      <c r="F597" s="676"/>
      <c r="G597" s="676"/>
      <c r="H597" s="672"/>
      <c r="I597" s="672"/>
      <c r="J597" s="677"/>
      <c r="K597" s="677"/>
      <c r="L597" s="677"/>
      <c r="M597" s="677"/>
      <c r="N597" s="677"/>
      <c r="O597" s="677"/>
      <c r="Q597" s="677"/>
    </row>
    <row r="598" spans="1:17">
      <c r="B598" s="334"/>
      <c r="C598" s="579" t="s">
        <v>290</v>
      </c>
      <c r="D598" s="676"/>
      <c r="E598" s="676"/>
      <c r="F598" s="676"/>
      <c r="G598" s="676"/>
      <c r="H598" s="672"/>
      <c r="I598" s="672"/>
      <c r="J598" s="677"/>
      <c r="K598" s="677"/>
      <c r="L598" s="677"/>
      <c r="M598" s="677"/>
      <c r="N598" s="677"/>
      <c r="O598" s="677"/>
      <c r="Q598" s="677"/>
    </row>
    <row r="599" spans="1:17" ht="20.25">
      <c r="A599" s="678" t="s">
        <v>780</v>
      </c>
      <c r="B599" s="543"/>
      <c r="C599" s="658"/>
      <c r="D599" s="566"/>
      <c r="E599" s="543"/>
      <c r="F599" s="648"/>
      <c r="G599" s="648"/>
      <c r="H599" s="543"/>
      <c r="I599" s="649"/>
      <c r="L599" s="679"/>
      <c r="M599" s="679"/>
      <c r="N599" s="679"/>
      <c r="O599" s="594" t="str">
        <f>"Page "&amp;SUM(Q$3:Q599)&amp;" of "</f>
        <v xml:space="preserve">Page 8 of </v>
      </c>
      <c r="P599" s="595">
        <f>COUNT(Q$8:Q$58123)</f>
        <v>15</v>
      </c>
      <c r="Q599" s="763">
        <v>1</v>
      </c>
    </row>
    <row r="600" spans="1:17">
      <c r="B600" s="543"/>
      <c r="C600" s="543"/>
      <c r="D600" s="566"/>
      <c r="E600" s="543"/>
      <c r="F600" s="543"/>
      <c r="G600" s="543"/>
      <c r="H600" s="543"/>
      <c r="I600" s="649"/>
      <c r="J600" s="543"/>
      <c r="K600" s="591"/>
      <c r="Q600" s="591"/>
    </row>
    <row r="601" spans="1:17" ht="18">
      <c r="B601" s="598" t="s">
        <v>175</v>
      </c>
      <c r="C601" s="680" t="s">
        <v>291</v>
      </c>
      <c r="D601" s="566"/>
      <c r="E601" s="543"/>
      <c r="F601" s="543"/>
      <c r="G601" s="543"/>
      <c r="H601" s="543"/>
      <c r="I601" s="649"/>
      <c r="J601" s="649"/>
      <c r="K601" s="672"/>
      <c r="L601" s="649"/>
      <c r="M601" s="649"/>
      <c r="N601" s="649"/>
      <c r="O601" s="649"/>
      <c r="Q601" s="672"/>
    </row>
    <row r="602" spans="1:17" ht="18.75">
      <c r="B602" s="598"/>
      <c r="C602" s="597"/>
      <c r="D602" s="566"/>
      <c r="E602" s="543"/>
      <c r="F602" s="543"/>
      <c r="G602" s="543"/>
      <c r="H602" s="543"/>
      <c r="I602" s="649"/>
      <c r="J602" s="649"/>
      <c r="K602" s="672"/>
      <c r="L602" s="649"/>
      <c r="M602" s="649"/>
      <c r="N602" s="649"/>
      <c r="O602" s="649"/>
      <c r="Q602" s="672"/>
    </row>
    <row r="603" spans="1:17" ht="18.75">
      <c r="B603" s="598"/>
      <c r="C603" s="597" t="s">
        <v>292</v>
      </c>
      <c r="D603" s="566"/>
      <c r="E603" s="543"/>
      <c r="F603" s="543"/>
      <c r="G603" s="543"/>
      <c r="H603" s="543"/>
      <c r="I603" s="649"/>
      <c r="J603" s="649"/>
      <c r="K603" s="672"/>
      <c r="L603" s="649"/>
      <c r="M603" s="649"/>
      <c r="N603" s="649"/>
      <c r="O603" s="649"/>
      <c r="Q603" s="672"/>
    </row>
    <row r="604" spans="1:17" ht="15.75" thickBot="1">
      <c r="B604" s="334"/>
      <c r="C604" s="400"/>
      <c r="D604" s="566"/>
      <c r="E604" s="543"/>
      <c r="F604" s="543"/>
      <c r="G604" s="543"/>
      <c r="H604" s="543"/>
      <c r="I604" s="649"/>
      <c r="J604" s="649"/>
      <c r="K604" s="672"/>
      <c r="L604" s="649"/>
      <c r="M604" s="649"/>
      <c r="N604" s="649"/>
      <c r="O604" s="649"/>
      <c r="Q604" s="672"/>
    </row>
    <row r="605" spans="1:17" ht="15.75">
      <c r="B605" s="334"/>
      <c r="C605" s="599" t="s">
        <v>293</v>
      </c>
      <c r="D605" s="566"/>
      <c r="E605" s="543"/>
      <c r="F605" s="543"/>
      <c r="G605" s="543"/>
      <c r="H605" s="874"/>
      <c r="I605" s="543" t="s">
        <v>272</v>
      </c>
      <c r="J605" s="543"/>
      <c r="K605" s="591"/>
      <c r="L605" s="764">
        <f>+J611</f>
        <v>2018</v>
      </c>
      <c r="M605" s="746" t="s">
        <v>255</v>
      </c>
      <c r="N605" s="746" t="s">
        <v>256</v>
      </c>
      <c r="O605" s="747" t="s">
        <v>257</v>
      </c>
      <c r="Q605" s="591"/>
    </row>
    <row r="606" spans="1:17" ht="15.75">
      <c r="B606" s="334"/>
      <c r="C606" s="599"/>
      <c r="D606" s="566"/>
      <c r="E606" s="543"/>
      <c r="F606" s="543"/>
      <c r="H606" s="543"/>
      <c r="I606" s="684"/>
      <c r="J606" s="684"/>
      <c r="K606" s="685"/>
      <c r="L606" s="765" t="s">
        <v>456</v>
      </c>
      <c r="M606" s="766">
        <f>VLOOKUP(J611,C618:P677,10)</f>
        <v>3974755</v>
      </c>
      <c r="N606" s="766">
        <f>VLOOKUP(J611,C618:P677,12)</f>
        <v>3974755</v>
      </c>
      <c r="O606" s="767">
        <f>+N606-M606</f>
        <v>0</v>
      </c>
      <c r="Q606" s="685"/>
    </row>
    <row r="607" spans="1:17">
      <c r="B607" s="334"/>
      <c r="C607" s="687" t="s">
        <v>294</v>
      </c>
      <c r="D607" s="1434" t="s">
        <v>1001</v>
      </c>
      <c r="E607" s="1434"/>
      <c r="F607" s="1434"/>
      <c r="G607" s="1434"/>
      <c r="H607" s="1434"/>
      <c r="I607" s="649"/>
      <c r="J607" s="649"/>
      <c r="K607" s="672"/>
      <c r="L607" s="765" t="s">
        <v>457</v>
      </c>
      <c r="M607" s="768">
        <f>VLOOKUP(J611,C618:P677,6)</f>
        <v>3573891.0065311641</v>
      </c>
      <c r="N607" s="768">
        <f>VLOOKUP(J611,C618:P677,7)</f>
        <v>3573891.0065311641</v>
      </c>
      <c r="O607" s="769">
        <f>+N607-M607</f>
        <v>0</v>
      </c>
      <c r="Q607" s="672"/>
    </row>
    <row r="608" spans="1:17" ht="13.5" thickBot="1">
      <c r="B608" s="334"/>
      <c r="C608" s="689"/>
      <c r="D608" s="690"/>
      <c r="E608" s="674"/>
      <c r="F608" s="674"/>
      <c r="G608" s="674"/>
      <c r="H608" s="691"/>
      <c r="I608" s="649"/>
      <c r="J608" s="649"/>
      <c r="K608" s="672"/>
      <c r="L608" s="710" t="s">
        <v>458</v>
      </c>
      <c r="M608" s="770">
        <f>+M607-M606</f>
        <v>-400863.99346883595</v>
      </c>
      <c r="N608" s="770">
        <f>+N607-N606</f>
        <v>-400863.99346883595</v>
      </c>
      <c r="O608" s="771">
        <f>+O607-O606</f>
        <v>0</v>
      </c>
      <c r="Q608" s="672"/>
    </row>
    <row r="609" spans="1:17" ht="13.5" thickBot="1">
      <c r="B609" s="334"/>
      <c r="C609" s="692"/>
      <c r="D609" s="693"/>
      <c r="E609" s="691"/>
      <c r="F609" s="691"/>
      <c r="G609" s="691"/>
      <c r="H609" s="691"/>
      <c r="I609" s="691"/>
      <c r="J609" s="691"/>
      <c r="K609" s="694"/>
      <c r="L609" s="691"/>
      <c r="M609" s="691"/>
      <c r="N609" s="691"/>
      <c r="O609" s="691"/>
      <c r="P609" s="579"/>
      <c r="Q609" s="694"/>
    </row>
    <row r="610" spans="1:17" ht="13.5" thickBot="1">
      <c r="B610" s="334"/>
      <c r="C610" s="696" t="s">
        <v>295</v>
      </c>
      <c r="D610" s="697"/>
      <c r="E610" s="697"/>
      <c r="F610" s="697"/>
      <c r="G610" s="697"/>
      <c r="H610" s="697"/>
      <c r="I610" s="697"/>
      <c r="J610" s="697"/>
      <c r="K610" s="699"/>
      <c r="P610" s="700"/>
      <c r="Q610" s="699"/>
    </row>
    <row r="611" spans="1:17" ht="15">
      <c r="A611" s="695"/>
      <c r="B611" s="334"/>
      <c r="C611" s="702" t="s">
        <v>273</v>
      </c>
      <c r="D611" s="1268">
        <v>29303859</v>
      </c>
      <c r="E611" s="658" t="s">
        <v>274</v>
      </c>
      <c r="H611" s="703"/>
      <c r="I611" s="703"/>
      <c r="J611" s="704">
        <v>2018</v>
      </c>
      <c r="K611" s="589"/>
      <c r="L611" s="1445" t="s">
        <v>275</v>
      </c>
      <c r="M611" s="1445"/>
      <c r="N611" s="1445"/>
      <c r="O611" s="1445"/>
      <c r="P611" s="591"/>
      <c r="Q611" s="589"/>
    </row>
    <row r="612" spans="1:17">
      <c r="A612" s="695"/>
      <c r="B612" s="334"/>
      <c r="C612" s="702" t="s">
        <v>276</v>
      </c>
      <c r="D612" s="876">
        <v>2016</v>
      </c>
      <c r="E612" s="702" t="s">
        <v>277</v>
      </c>
      <c r="F612" s="703"/>
      <c r="G612" s="703"/>
      <c r="I612" s="334"/>
      <c r="J612" s="879">
        <v>0</v>
      </c>
      <c r="K612" s="705"/>
      <c r="L612" s="672" t="s">
        <v>476</v>
      </c>
      <c r="P612" s="591"/>
      <c r="Q612" s="705"/>
    </row>
    <row r="613" spans="1:17">
      <c r="A613" s="695"/>
      <c r="B613" s="334"/>
      <c r="C613" s="702" t="s">
        <v>278</v>
      </c>
      <c r="D613" s="1269">
        <v>11</v>
      </c>
      <c r="E613" s="702" t="s">
        <v>279</v>
      </c>
      <c r="F613" s="703"/>
      <c r="G613" s="703"/>
      <c r="I613" s="334"/>
      <c r="J613" s="706">
        <f>$F$70</f>
        <v>0.10790637951024619</v>
      </c>
      <c r="K613" s="707"/>
      <c r="L613" s="543" t="str">
        <f>"          INPUT TRUE-UP ARR (WITH &amp; WITHOUT INCENTIVES) FROM EACH PRIOR YEAR"</f>
        <v xml:space="preserve">          INPUT TRUE-UP ARR (WITH &amp; WITHOUT INCENTIVES) FROM EACH PRIOR YEAR</v>
      </c>
      <c r="P613" s="591"/>
      <c r="Q613" s="707"/>
    </row>
    <row r="614" spans="1:17">
      <c r="A614" s="695"/>
      <c r="B614" s="334"/>
      <c r="C614" s="702" t="s">
        <v>280</v>
      </c>
      <c r="D614" s="708">
        <f>H79</f>
        <v>59</v>
      </c>
      <c r="E614" s="702" t="s">
        <v>281</v>
      </c>
      <c r="F614" s="703"/>
      <c r="G614" s="703"/>
      <c r="I614" s="334"/>
      <c r="J614" s="706">
        <f>IF(H605="",J613,$F$69)</f>
        <v>0.10790637951024619</v>
      </c>
      <c r="K614" s="709"/>
      <c r="L614" s="543" t="s">
        <v>363</v>
      </c>
      <c r="M614" s="709"/>
      <c r="N614" s="709"/>
      <c r="O614" s="709"/>
      <c r="P614" s="591"/>
      <c r="Q614" s="709"/>
    </row>
    <row r="615" spans="1:17" ht="13.5" thickBot="1">
      <c r="A615" s="695"/>
      <c r="B615" s="334"/>
      <c r="C615" s="702" t="s">
        <v>282</v>
      </c>
      <c r="D615" s="878" t="s">
        <v>995</v>
      </c>
      <c r="E615" s="710" t="s">
        <v>283</v>
      </c>
      <c r="F615" s="711"/>
      <c r="G615" s="711"/>
      <c r="H615" s="712"/>
      <c r="I615" s="712"/>
      <c r="J615" s="688">
        <f>IF(D611=0,0,D611/D614)</f>
        <v>496675.57627118647</v>
      </c>
      <c r="K615" s="672"/>
      <c r="L615" s="672" t="s">
        <v>364</v>
      </c>
      <c r="M615" s="672"/>
      <c r="N615" s="672"/>
      <c r="O615" s="672"/>
      <c r="P615" s="591"/>
      <c r="Q615" s="672"/>
    </row>
    <row r="616" spans="1:17" ht="38.25">
      <c r="A616" s="530"/>
      <c r="B616" s="530"/>
      <c r="C616" s="713" t="s">
        <v>273</v>
      </c>
      <c r="D616" s="714" t="s">
        <v>284</v>
      </c>
      <c r="E616" s="715" t="s">
        <v>285</v>
      </c>
      <c r="F616" s="714" t="s">
        <v>286</v>
      </c>
      <c r="G616" s="714" t="s">
        <v>459</v>
      </c>
      <c r="H616" s="715" t="s">
        <v>357</v>
      </c>
      <c r="I616" s="716" t="s">
        <v>357</v>
      </c>
      <c r="J616" s="713" t="s">
        <v>296</v>
      </c>
      <c r="K616" s="717"/>
      <c r="L616" s="715" t="s">
        <v>359</v>
      </c>
      <c r="M616" s="715" t="s">
        <v>365</v>
      </c>
      <c r="N616" s="715" t="s">
        <v>359</v>
      </c>
      <c r="O616" s="715" t="s">
        <v>367</v>
      </c>
      <c r="P616" s="715" t="s">
        <v>287</v>
      </c>
      <c r="Q616" s="718"/>
    </row>
    <row r="617" spans="1:17" ht="13.5" thickBot="1">
      <c r="B617" s="334"/>
      <c r="C617" s="719" t="s">
        <v>178</v>
      </c>
      <c r="D617" s="720" t="s">
        <v>179</v>
      </c>
      <c r="E617" s="719" t="s">
        <v>37</v>
      </c>
      <c r="F617" s="720" t="s">
        <v>179</v>
      </c>
      <c r="G617" s="720" t="s">
        <v>179</v>
      </c>
      <c r="H617" s="721" t="s">
        <v>299</v>
      </c>
      <c r="I617" s="722" t="s">
        <v>301</v>
      </c>
      <c r="J617" s="723" t="s">
        <v>390</v>
      </c>
      <c r="K617" s="724"/>
      <c r="L617" s="721" t="s">
        <v>288</v>
      </c>
      <c r="M617" s="721" t="s">
        <v>288</v>
      </c>
      <c r="N617" s="721" t="s">
        <v>468</v>
      </c>
      <c r="O617" s="721" t="s">
        <v>468</v>
      </c>
      <c r="P617" s="721" t="s">
        <v>468</v>
      </c>
      <c r="Q617" s="589"/>
    </row>
    <row r="618" spans="1:17">
      <c r="B618" s="334"/>
      <c r="C618" s="725">
        <f>IF(D612= "","-",D612)</f>
        <v>2016</v>
      </c>
      <c r="D618" s="676">
        <f>+D611</f>
        <v>29303859</v>
      </c>
      <c r="E618" s="726">
        <f>+J615/12*(12-D613)</f>
        <v>41389.631355932208</v>
      </c>
      <c r="F618" s="772">
        <f t="shared" ref="F618:F677" si="56">+D618-E618</f>
        <v>29262469.368644066</v>
      </c>
      <c r="G618" s="676">
        <f t="shared" ref="G618:G677" si="57">+(D618+F618)/2</f>
        <v>29283164.184322033</v>
      </c>
      <c r="H618" s="727">
        <f>+J613*G618+E618</f>
        <v>3201229.8590902342</v>
      </c>
      <c r="I618" s="728">
        <f>+J614*G618+E618</f>
        <v>3201229.8590902342</v>
      </c>
      <c r="J618" s="729">
        <f t="shared" ref="J618:J677" si="58">+I618-H618</f>
        <v>0</v>
      </c>
      <c r="K618" s="729"/>
      <c r="L618" s="730">
        <v>13022465</v>
      </c>
      <c r="M618" s="773">
        <f t="shared" ref="M618:M677" si="59">IF(L618&lt;&gt;0,+H618-L618,0)</f>
        <v>-9821235.1409097649</v>
      </c>
      <c r="N618" s="730">
        <v>13022465</v>
      </c>
      <c r="O618" s="773">
        <f t="shared" ref="O618:O677" si="60">IF(N618&lt;&gt;0,+I618-N618,0)</f>
        <v>-9821235.1409097649</v>
      </c>
      <c r="P618" s="773">
        <f t="shared" ref="P618:P677" si="61">+O618-M618</f>
        <v>0</v>
      </c>
      <c r="Q618" s="677"/>
    </row>
    <row r="619" spans="1:17">
      <c r="B619" s="334"/>
      <c r="C619" s="725">
        <f>IF(D612="","-",+C618+1)</f>
        <v>2017</v>
      </c>
      <c r="D619" s="676">
        <f t="shared" ref="D619:D677" si="62">F618</f>
        <v>29262469.368644066</v>
      </c>
      <c r="E619" s="732">
        <f>IF(D619&gt;$J$615,$J$615,D619)</f>
        <v>496675.57627118647</v>
      </c>
      <c r="F619" s="732">
        <f t="shared" si="56"/>
        <v>28765793.792372879</v>
      </c>
      <c r="G619" s="676">
        <f t="shared" si="57"/>
        <v>29014131.580508471</v>
      </c>
      <c r="H619" s="726">
        <f>+J613*G619+E619</f>
        <v>3627485.4697577525</v>
      </c>
      <c r="I619" s="733">
        <f>+J614*G619+E619</f>
        <v>3627485.4697577525</v>
      </c>
      <c r="J619" s="729">
        <f t="shared" si="58"/>
        <v>0</v>
      </c>
      <c r="K619" s="729"/>
      <c r="L619" s="734">
        <v>3514742</v>
      </c>
      <c r="M619" s="729">
        <f t="shared" si="59"/>
        <v>112743.46975775249</v>
      </c>
      <c r="N619" s="734">
        <v>3514742</v>
      </c>
      <c r="O619" s="729">
        <f t="shared" si="60"/>
        <v>112743.46975775249</v>
      </c>
      <c r="P619" s="729">
        <f t="shared" si="61"/>
        <v>0</v>
      </c>
      <c r="Q619" s="677"/>
    </row>
    <row r="620" spans="1:17">
      <c r="B620" s="334"/>
      <c r="C620" s="725">
        <f>IF(D612="","-",+C619+1)</f>
        <v>2018</v>
      </c>
      <c r="D620" s="1311">
        <f t="shared" si="62"/>
        <v>28765793.792372879</v>
      </c>
      <c r="E620" s="732">
        <f t="shared" ref="E620:E677" si="63">IF(D620&gt;$J$615,$J$615,D620)</f>
        <v>496675.57627118647</v>
      </c>
      <c r="F620" s="732">
        <f t="shared" si="56"/>
        <v>28269118.216101691</v>
      </c>
      <c r="G620" s="676">
        <f t="shared" si="57"/>
        <v>28517456.004237287</v>
      </c>
      <c r="H620" s="726">
        <f>+J613*G620+E620</f>
        <v>3573891.0065311641</v>
      </c>
      <c r="I620" s="733">
        <f>+J614*G620+E620</f>
        <v>3573891.0065311641</v>
      </c>
      <c r="J620" s="729">
        <f t="shared" si="58"/>
        <v>0</v>
      </c>
      <c r="K620" s="729"/>
      <c r="L620" s="734">
        <v>3974755</v>
      </c>
      <c r="M620" s="729">
        <f t="shared" si="59"/>
        <v>-400863.99346883595</v>
      </c>
      <c r="N620" s="734">
        <v>3974755</v>
      </c>
      <c r="O620" s="729">
        <f t="shared" si="60"/>
        <v>-400863.99346883595</v>
      </c>
      <c r="P620" s="729">
        <f t="shared" si="61"/>
        <v>0</v>
      </c>
      <c r="Q620" s="677"/>
    </row>
    <row r="621" spans="1:17">
      <c r="B621" s="334"/>
      <c r="C621" s="725">
        <f>IF(D612="","-",+C620+1)</f>
        <v>2019</v>
      </c>
      <c r="D621" s="1282">
        <f t="shared" si="62"/>
        <v>28269118.216101691</v>
      </c>
      <c r="E621" s="732">
        <f t="shared" si="63"/>
        <v>496675.57627118647</v>
      </c>
      <c r="F621" s="732">
        <f t="shared" si="56"/>
        <v>27772442.639830504</v>
      </c>
      <c r="G621" s="676">
        <f t="shared" si="57"/>
        <v>28020780.427966096</v>
      </c>
      <c r="H621" s="726">
        <f>+J613*G621+E621</f>
        <v>3520296.5433045747</v>
      </c>
      <c r="I621" s="733">
        <f>+J614*G621+E621</f>
        <v>3520296.5433045747</v>
      </c>
      <c r="J621" s="729">
        <f t="shared" si="58"/>
        <v>0</v>
      </c>
      <c r="K621" s="729"/>
      <c r="L621" s="734">
        <v>0</v>
      </c>
      <c r="M621" s="729">
        <f t="shared" si="59"/>
        <v>0</v>
      </c>
      <c r="N621" s="734">
        <v>0</v>
      </c>
      <c r="O621" s="729">
        <f t="shared" si="60"/>
        <v>0</v>
      </c>
      <c r="P621" s="729">
        <f t="shared" si="61"/>
        <v>0</v>
      </c>
      <c r="Q621" s="677"/>
    </row>
    <row r="622" spans="1:17">
      <c r="B622" s="334"/>
      <c r="C622" s="725">
        <f>IF(D612="","-",+C621+1)</f>
        <v>2020</v>
      </c>
      <c r="D622" s="1282">
        <f t="shared" si="62"/>
        <v>27772442.639830504</v>
      </c>
      <c r="E622" s="732">
        <f t="shared" si="63"/>
        <v>496675.57627118647</v>
      </c>
      <c r="F622" s="732">
        <f t="shared" si="56"/>
        <v>27275767.063559316</v>
      </c>
      <c r="G622" s="676">
        <f t="shared" si="57"/>
        <v>27524104.851694912</v>
      </c>
      <c r="H622" s="726">
        <f>+J613*G622+E622</f>
        <v>3466702.0800779862</v>
      </c>
      <c r="I622" s="733">
        <f>+J614*G622+E622</f>
        <v>3466702.0800779862</v>
      </c>
      <c r="J622" s="729">
        <f t="shared" si="58"/>
        <v>0</v>
      </c>
      <c r="K622" s="729"/>
      <c r="L622" s="734">
        <v>0</v>
      </c>
      <c r="M622" s="729">
        <f t="shared" si="59"/>
        <v>0</v>
      </c>
      <c r="N622" s="734">
        <v>0</v>
      </c>
      <c r="O622" s="729">
        <f t="shared" si="60"/>
        <v>0</v>
      </c>
      <c r="P622" s="729">
        <f t="shared" si="61"/>
        <v>0</v>
      </c>
      <c r="Q622" s="677"/>
    </row>
    <row r="623" spans="1:17">
      <c r="B623" s="334"/>
      <c r="C623" s="725">
        <f>IF(D612="","-",+C622+1)</f>
        <v>2021</v>
      </c>
      <c r="D623" s="676">
        <f t="shared" si="62"/>
        <v>27275767.063559316</v>
      </c>
      <c r="E623" s="732">
        <f t="shared" si="63"/>
        <v>496675.57627118647</v>
      </c>
      <c r="F623" s="732">
        <f t="shared" si="56"/>
        <v>26779091.487288129</v>
      </c>
      <c r="G623" s="676">
        <f t="shared" si="57"/>
        <v>27027429.27542372</v>
      </c>
      <c r="H623" s="726">
        <f>+J613*G623+E623</f>
        <v>3413107.6168513969</v>
      </c>
      <c r="I623" s="733">
        <f>+J614*G623+E623</f>
        <v>3413107.6168513969</v>
      </c>
      <c r="J623" s="729">
        <f t="shared" si="58"/>
        <v>0</v>
      </c>
      <c r="K623" s="729"/>
      <c r="L623" s="734">
        <v>0</v>
      </c>
      <c r="M623" s="729">
        <f t="shared" si="59"/>
        <v>0</v>
      </c>
      <c r="N623" s="734">
        <v>0</v>
      </c>
      <c r="O623" s="729">
        <f t="shared" si="60"/>
        <v>0</v>
      </c>
      <c r="P623" s="729">
        <f t="shared" si="61"/>
        <v>0</v>
      </c>
      <c r="Q623" s="677"/>
    </row>
    <row r="624" spans="1:17">
      <c r="B624" s="334"/>
      <c r="C624" s="725">
        <f>IF(D612="","-",+C623+1)</f>
        <v>2022</v>
      </c>
      <c r="D624" s="676">
        <f t="shared" si="62"/>
        <v>26779091.487288129</v>
      </c>
      <c r="E624" s="732">
        <f t="shared" si="63"/>
        <v>496675.57627118647</v>
      </c>
      <c r="F624" s="732">
        <f t="shared" si="56"/>
        <v>26282415.911016941</v>
      </c>
      <c r="G624" s="676">
        <f t="shared" si="57"/>
        <v>26530753.699152537</v>
      </c>
      <c r="H624" s="726">
        <f>+J613*G624+E624</f>
        <v>3359513.153624808</v>
      </c>
      <c r="I624" s="733">
        <f>+J614*G624+E624</f>
        <v>3359513.153624808</v>
      </c>
      <c r="J624" s="729">
        <f t="shared" si="58"/>
        <v>0</v>
      </c>
      <c r="K624" s="729"/>
      <c r="L624" s="734">
        <v>0</v>
      </c>
      <c r="M624" s="729">
        <f t="shared" si="59"/>
        <v>0</v>
      </c>
      <c r="N624" s="734">
        <v>0</v>
      </c>
      <c r="O624" s="729">
        <f t="shared" si="60"/>
        <v>0</v>
      </c>
      <c r="P624" s="729">
        <f t="shared" si="61"/>
        <v>0</v>
      </c>
      <c r="Q624" s="677"/>
    </row>
    <row r="625" spans="2:17">
      <c r="B625" s="334"/>
      <c r="C625" s="725">
        <f>IF(D612="","-",+C624+1)</f>
        <v>2023</v>
      </c>
      <c r="D625" s="676">
        <f t="shared" si="62"/>
        <v>26282415.911016941</v>
      </c>
      <c r="E625" s="732">
        <f t="shared" si="63"/>
        <v>496675.57627118647</v>
      </c>
      <c r="F625" s="732">
        <f t="shared" si="56"/>
        <v>25785740.334745754</v>
      </c>
      <c r="G625" s="676">
        <f t="shared" si="57"/>
        <v>26034078.122881345</v>
      </c>
      <c r="H625" s="726">
        <f>+J613*G625+E625</f>
        <v>3305918.6903982186</v>
      </c>
      <c r="I625" s="733">
        <f>+J614*G625+E625</f>
        <v>3305918.6903982186</v>
      </c>
      <c r="J625" s="729">
        <f t="shared" si="58"/>
        <v>0</v>
      </c>
      <c r="K625" s="729"/>
      <c r="L625" s="734">
        <v>0</v>
      </c>
      <c r="M625" s="729">
        <f t="shared" si="59"/>
        <v>0</v>
      </c>
      <c r="N625" s="734">
        <v>0</v>
      </c>
      <c r="O625" s="729">
        <f t="shared" si="60"/>
        <v>0</v>
      </c>
      <c r="P625" s="729">
        <f t="shared" si="61"/>
        <v>0</v>
      </c>
      <c r="Q625" s="677"/>
    </row>
    <row r="626" spans="2:17">
      <c r="B626" s="334"/>
      <c r="C626" s="725">
        <f>IF(D612="","-",+C625+1)</f>
        <v>2024</v>
      </c>
      <c r="D626" s="676">
        <f t="shared" si="62"/>
        <v>25785740.334745754</v>
      </c>
      <c r="E626" s="732">
        <f t="shared" si="63"/>
        <v>496675.57627118647</v>
      </c>
      <c r="F626" s="732">
        <f t="shared" si="56"/>
        <v>25289064.758474566</v>
      </c>
      <c r="G626" s="676">
        <f t="shared" si="57"/>
        <v>25537402.546610162</v>
      </c>
      <c r="H626" s="726">
        <f>+J613*G626+E626</f>
        <v>3252324.2271716301</v>
      </c>
      <c r="I626" s="733">
        <f>+J614*G626+E626</f>
        <v>3252324.2271716301</v>
      </c>
      <c r="J626" s="729">
        <f t="shared" si="58"/>
        <v>0</v>
      </c>
      <c r="K626" s="729"/>
      <c r="L626" s="734">
        <v>0</v>
      </c>
      <c r="M626" s="729">
        <f t="shared" si="59"/>
        <v>0</v>
      </c>
      <c r="N626" s="734">
        <v>0</v>
      </c>
      <c r="O626" s="729">
        <f t="shared" si="60"/>
        <v>0</v>
      </c>
      <c r="P626" s="729">
        <f t="shared" si="61"/>
        <v>0</v>
      </c>
      <c r="Q626" s="677"/>
    </row>
    <row r="627" spans="2:17">
      <c r="B627" s="334"/>
      <c r="C627" s="725">
        <f>IF(D612="","-",+C626+1)</f>
        <v>2025</v>
      </c>
      <c r="D627" s="676">
        <f t="shared" si="62"/>
        <v>25289064.758474566</v>
      </c>
      <c r="E627" s="732">
        <f t="shared" si="63"/>
        <v>496675.57627118647</v>
      </c>
      <c r="F627" s="732">
        <f t="shared" si="56"/>
        <v>24792389.182203379</v>
      </c>
      <c r="G627" s="676">
        <f t="shared" si="57"/>
        <v>25040726.97033897</v>
      </c>
      <c r="H627" s="726">
        <f>+J613*G627+E627</f>
        <v>3198729.7639450408</v>
      </c>
      <c r="I627" s="733">
        <f>+J614*G627+E627</f>
        <v>3198729.7639450408</v>
      </c>
      <c r="J627" s="729">
        <f t="shared" si="58"/>
        <v>0</v>
      </c>
      <c r="K627" s="729"/>
      <c r="L627" s="734">
        <v>0</v>
      </c>
      <c r="M627" s="729">
        <f t="shared" si="59"/>
        <v>0</v>
      </c>
      <c r="N627" s="734">
        <v>0</v>
      </c>
      <c r="O627" s="729">
        <f t="shared" si="60"/>
        <v>0</v>
      </c>
      <c r="P627" s="729">
        <f t="shared" si="61"/>
        <v>0</v>
      </c>
      <c r="Q627" s="677"/>
    </row>
    <row r="628" spans="2:17">
      <c r="B628" s="334"/>
      <c r="C628" s="725">
        <f>IF(D612="","-",+C627+1)</f>
        <v>2026</v>
      </c>
      <c r="D628" s="676">
        <f t="shared" si="62"/>
        <v>24792389.182203379</v>
      </c>
      <c r="E628" s="732">
        <f t="shared" si="63"/>
        <v>496675.57627118647</v>
      </c>
      <c r="F628" s="732">
        <f t="shared" si="56"/>
        <v>24295713.605932191</v>
      </c>
      <c r="G628" s="676">
        <f t="shared" si="57"/>
        <v>24544051.394067787</v>
      </c>
      <c r="H628" s="726">
        <f>+J613*G628+E628</f>
        <v>3145135.3007184523</v>
      </c>
      <c r="I628" s="733">
        <f>+J614*G628+E628</f>
        <v>3145135.3007184523</v>
      </c>
      <c r="J628" s="729">
        <f t="shared" si="58"/>
        <v>0</v>
      </c>
      <c r="K628" s="729"/>
      <c r="L628" s="734">
        <v>0</v>
      </c>
      <c r="M628" s="729">
        <f t="shared" si="59"/>
        <v>0</v>
      </c>
      <c r="N628" s="734">
        <v>0</v>
      </c>
      <c r="O628" s="729">
        <f t="shared" si="60"/>
        <v>0</v>
      </c>
      <c r="P628" s="729">
        <f t="shared" si="61"/>
        <v>0</v>
      </c>
      <c r="Q628" s="677"/>
    </row>
    <row r="629" spans="2:17">
      <c r="B629" s="334"/>
      <c r="C629" s="725">
        <f>IF(D612="","-",+C628+1)</f>
        <v>2027</v>
      </c>
      <c r="D629" s="676">
        <f t="shared" si="62"/>
        <v>24295713.605932191</v>
      </c>
      <c r="E629" s="732">
        <f t="shared" si="63"/>
        <v>496675.57627118647</v>
      </c>
      <c r="F629" s="732">
        <f t="shared" si="56"/>
        <v>23799038.029661004</v>
      </c>
      <c r="G629" s="676">
        <f t="shared" si="57"/>
        <v>24047375.817796595</v>
      </c>
      <c r="H629" s="726">
        <f>+J613*G629+E629</f>
        <v>3091540.8374918629</v>
      </c>
      <c r="I629" s="733">
        <f>+J614*G629+E629</f>
        <v>3091540.8374918629</v>
      </c>
      <c r="J629" s="729">
        <f t="shared" si="58"/>
        <v>0</v>
      </c>
      <c r="K629" s="729"/>
      <c r="L629" s="734"/>
      <c r="M629" s="729">
        <f t="shared" si="59"/>
        <v>0</v>
      </c>
      <c r="N629" s="734"/>
      <c r="O629" s="729">
        <f t="shared" si="60"/>
        <v>0</v>
      </c>
      <c r="P629" s="729">
        <f t="shared" si="61"/>
        <v>0</v>
      </c>
      <c r="Q629" s="677"/>
    </row>
    <row r="630" spans="2:17">
      <c r="B630" s="334"/>
      <c r="C630" s="725">
        <f>IF(D612="","-",+C629+1)</f>
        <v>2028</v>
      </c>
      <c r="D630" s="676">
        <f t="shared" si="62"/>
        <v>23799038.029661004</v>
      </c>
      <c r="E630" s="732">
        <f t="shared" si="63"/>
        <v>496675.57627118647</v>
      </c>
      <c r="F630" s="732">
        <f t="shared" si="56"/>
        <v>23302362.453389816</v>
      </c>
      <c r="G630" s="676">
        <f t="shared" si="57"/>
        <v>23550700.241525412</v>
      </c>
      <c r="H630" s="726">
        <f>+J613*G630+E630</f>
        <v>3037946.374265274</v>
      </c>
      <c r="I630" s="733">
        <f>+J614*G630+E630</f>
        <v>3037946.374265274</v>
      </c>
      <c r="J630" s="729">
        <f t="shared" si="58"/>
        <v>0</v>
      </c>
      <c r="K630" s="729"/>
      <c r="L630" s="734"/>
      <c r="M630" s="729">
        <f t="shared" si="59"/>
        <v>0</v>
      </c>
      <c r="N630" s="734"/>
      <c r="O630" s="729">
        <f t="shared" si="60"/>
        <v>0</v>
      </c>
      <c r="P630" s="729">
        <f t="shared" si="61"/>
        <v>0</v>
      </c>
      <c r="Q630" s="677"/>
    </row>
    <row r="631" spans="2:17">
      <c r="B631" s="334"/>
      <c r="C631" s="725">
        <f>IF(D612="","-",+C630+1)</f>
        <v>2029</v>
      </c>
      <c r="D631" s="676">
        <f t="shared" si="62"/>
        <v>23302362.453389816</v>
      </c>
      <c r="E631" s="732">
        <f t="shared" si="63"/>
        <v>496675.57627118647</v>
      </c>
      <c r="F631" s="732">
        <f t="shared" si="56"/>
        <v>22805686.877118628</v>
      </c>
      <c r="G631" s="676">
        <f t="shared" si="57"/>
        <v>23054024.66525422</v>
      </c>
      <c r="H631" s="726">
        <f>+J613*G631+E631</f>
        <v>2984351.9110386847</v>
      </c>
      <c r="I631" s="733">
        <f>+J614*G631+E631</f>
        <v>2984351.9110386847</v>
      </c>
      <c r="J631" s="729">
        <f t="shared" si="58"/>
        <v>0</v>
      </c>
      <c r="K631" s="729"/>
      <c r="L631" s="734"/>
      <c r="M631" s="729">
        <f t="shared" si="59"/>
        <v>0</v>
      </c>
      <c r="N631" s="734"/>
      <c r="O631" s="729">
        <f t="shared" si="60"/>
        <v>0</v>
      </c>
      <c r="P631" s="729">
        <f t="shared" si="61"/>
        <v>0</v>
      </c>
      <c r="Q631" s="677"/>
    </row>
    <row r="632" spans="2:17">
      <c r="B632" s="334"/>
      <c r="C632" s="725">
        <f>IF(D612="","-",+C631+1)</f>
        <v>2030</v>
      </c>
      <c r="D632" s="676">
        <f t="shared" si="62"/>
        <v>22805686.877118628</v>
      </c>
      <c r="E632" s="732">
        <f t="shared" si="63"/>
        <v>496675.57627118647</v>
      </c>
      <c r="F632" s="732">
        <f t="shared" si="56"/>
        <v>22309011.300847441</v>
      </c>
      <c r="G632" s="676">
        <f t="shared" si="57"/>
        <v>22557349.088983037</v>
      </c>
      <c r="H632" s="726">
        <f>+J613*G632+E632</f>
        <v>2930757.4478120962</v>
      </c>
      <c r="I632" s="733">
        <f>+J614*G632+E632</f>
        <v>2930757.4478120962</v>
      </c>
      <c r="J632" s="729">
        <f t="shared" si="58"/>
        <v>0</v>
      </c>
      <c r="K632" s="729"/>
      <c r="L632" s="734"/>
      <c r="M632" s="729">
        <f t="shared" si="59"/>
        <v>0</v>
      </c>
      <c r="N632" s="734"/>
      <c r="O632" s="729">
        <f t="shared" si="60"/>
        <v>0</v>
      </c>
      <c r="P632" s="729">
        <f t="shared" si="61"/>
        <v>0</v>
      </c>
      <c r="Q632" s="677"/>
    </row>
    <row r="633" spans="2:17">
      <c r="B633" s="334"/>
      <c r="C633" s="725">
        <f>IF(D612="","-",+C632+1)</f>
        <v>2031</v>
      </c>
      <c r="D633" s="676">
        <f t="shared" si="62"/>
        <v>22309011.300847441</v>
      </c>
      <c r="E633" s="732">
        <f t="shared" si="63"/>
        <v>496675.57627118647</v>
      </c>
      <c r="F633" s="732">
        <f t="shared" si="56"/>
        <v>21812335.724576253</v>
      </c>
      <c r="G633" s="676">
        <f t="shared" si="57"/>
        <v>22060673.512711845</v>
      </c>
      <c r="H633" s="726">
        <f>+J613*G633+E633</f>
        <v>2877162.9845855068</v>
      </c>
      <c r="I633" s="733">
        <f>+J614*G633+E633</f>
        <v>2877162.9845855068</v>
      </c>
      <c r="J633" s="729">
        <f t="shared" si="58"/>
        <v>0</v>
      </c>
      <c r="K633" s="729"/>
      <c r="L633" s="734"/>
      <c r="M633" s="729">
        <f t="shared" si="59"/>
        <v>0</v>
      </c>
      <c r="N633" s="734"/>
      <c r="O633" s="729">
        <f t="shared" si="60"/>
        <v>0</v>
      </c>
      <c r="P633" s="729">
        <f t="shared" si="61"/>
        <v>0</v>
      </c>
      <c r="Q633" s="677"/>
    </row>
    <row r="634" spans="2:17">
      <c r="B634" s="334"/>
      <c r="C634" s="725">
        <f>IF(D612="","-",+C633+1)</f>
        <v>2032</v>
      </c>
      <c r="D634" s="676">
        <f t="shared" si="62"/>
        <v>21812335.724576253</v>
      </c>
      <c r="E634" s="732">
        <f t="shared" si="63"/>
        <v>496675.57627118647</v>
      </c>
      <c r="F634" s="732">
        <f t="shared" si="56"/>
        <v>21315660.148305066</v>
      </c>
      <c r="G634" s="676">
        <f t="shared" si="57"/>
        <v>21563997.936440662</v>
      </c>
      <c r="H634" s="726">
        <f>+J613*G634+E634</f>
        <v>2823568.5213589184</v>
      </c>
      <c r="I634" s="733">
        <f>+J614*G634+E634</f>
        <v>2823568.5213589184</v>
      </c>
      <c r="J634" s="729">
        <f t="shared" si="58"/>
        <v>0</v>
      </c>
      <c r="K634" s="729"/>
      <c r="L634" s="734"/>
      <c r="M634" s="729">
        <f t="shared" si="59"/>
        <v>0</v>
      </c>
      <c r="N634" s="734"/>
      <c r="O634" s="729">
        <f t="shared" si="60"/>
        <v>0</v>
      </c>
      <c r="P634" s="729">
        <f t="shared" si="61"/>
        <v>0</v>
      </c>
      <c r="Q634" s="677"/>
    </row>
    <row r="635" spans="2:17">
      <c r="B635" s="334"/>
      <c r="C635" s="725">
        <f>IF(D612="","-",+C634+1)</f>
        <v>2033</v>
      </c>
      <c r="D635" s="676">
        <f t="shared" si="62"/>
        <v>21315660.148305066</v>
      </c>
      <c r="E635" s="732">
        <f t="shared" si="63"/>
        <v>496675.57627118647</v>
      </c>
      <c r="F635" s="732">
        <f t="shared" si="56"/>
        <v>20818984.572033878</v>
      </c>
      <c r="G635" s="676">
        <f t="shared" si="57"/>
        <v>21067322.36016947</v>
      </c>
      <c r="H635" s="726">
        <f>+J613*G635+E635</f>
        <v>2769974.058132329</v>
      </c>
      <c r="I635" s="733">
        <f>+J614*G635+E635</f>
        <v>2769974.058132329</v>
      </c>
      <c r="J635" s="729">
        <f t="shared" si="58"/>
        <v>0</v>
      </c>
      <c r="K635" s="729"/>
      <c r="L635" s="734"/>
      <c r="M635" s="729">
        <f t="shared" si="59"/>
        <v>0</v>
      </c>
      <c r="N635" s="734"/>
      <c r="O635" s="729">
        <f t="shared" si="60"/>
        <v>0</v>
      </c>
      <c r="P635" s="729">
        <f t="shared" si="61"/>
        <v>0</v>
      </c>
      <c r="Q635" s="677"/>
    </row>
    <row r="636" spans="2:17">
      <c r="B636" s="334"/>
      <c r="C636" s="725">
        <f>IF(D612="","-",+C635+1)</f>
        <v>2034</v>
      </c>
      <c r="D636" s="676">
        <f t="shared" si="62"/>
        <v>20818984.572033878</v>
      </c>
      <c r="E636" s="732">
        <f t="shared" si="63"/>
        <v>496675.57627118647</v>
      </c>
      <c r="F636" s="732">
        <f t="shared" si="56"/>
        <v>20322308.995762691</v>
      </c>
      <c r="G636" s="676">
        <f t="shared" si="57"/>
        <v>20570646.783898287</v>
      </c>
      <c r="H636" s="726">
        <f>+J613*G636+E636</f>
        <v>2716379.5949057401</v>
      </c>
      <c r="I636" s="733">
        <f>+J614*G636+E636</f>
        <v>2716379.5949057401</v>
      </c>
      <c r="J636" s="729">
        <f t="shared" si="58"/>
        <v>0</v>
      </c>
      <c r="K636" s="729"/>
      <c r="L636" s="734"/>
      <c r="M636" s="729">
        <f t="shared" si="59"/>
        <v>0</v>
      </c>
      <c r="N636" s="734"/>
      <c r="O636" s="729">
        <f t="shared" si="60"/>
        <v>0</v>
      </c>
      <c r="P636" s="729">
        <f t="shared" si="61"/>
        <v>0</v>
      </c>
      <c r="Q636" s="677"/>
    </row>
    <row r="637" spans="2:17">
      <c r="B637" s="334"/>
      <c r="C637" s="725">
        <f>IF(D612="","-",+C636+1)</f>
        <v>2035</v>
      </c>
      <c r="D637" s="676">
        <f t="shared" si="62"/>
        <v>20322308.995762691</v>
      </c>
      <c r="E637" s="732">
        <f t="shared" si="63"/>
        <v>496675.57627118647</v>
      </c>
      <c r="F637" s="732">
        <f t="shared" si="56"/>
        <v>19825633.419491503</v>
      </c>
      <c r="G637" s="676">
        <f t="shared" si="57"/>
        <v>20073971.207627095</v>
      </c>
      <c r="H637" s="726">
        <f>+J613*G637+E637</f>
        <v>2662785.1316791507</v>
      </c>
      <c r="I637" s="733">
        <f>+J614*G637+E637</f>
        <v>2662785.1316791507</v>
      </c>
      <c r="J637" s="729">
        <f t="shared" si="58"/>
        <v>0</v>
      </c>
      <c r="K637" s="729"/>
      <c r="L637" s="734"/>
      <c r="M637" s="729">
        <f t="shared" si="59"/>
        <v>0</v>
      </c>
      <c r="N637" s="734"/>
      <c r="O637" s="729">
        <f t="shared" si="60"/>
        <v>0</v>
      </c>
      <c r="P637" s="729">
        <f t="shared" si="61"/>
        <v>0</v>
      </c>
      <c r="Q637" s="677"/>
    </row>
    <row r="638" spans="2:17">
      <c r="B638" s="334"/>
      <c r="C638" s="725">
        <f>IF(D612="","-",+C637+1)</f>
        <v>2036</v>
      </c>
      <c r="D638" s="676">
        <f t="shared" si="62"/>
        <v>19825633.419491503</v>
      </c>
      <c r="E638" s="732">
        <f t="shared" si="63"/>
        <v>496675.57627118647</v>
      </c>
      <c r="F638" s="732">
        <f t="shared" si="56"/>
        <v>19328957.843220316</v>
      </c>
      <c r="G638" s="676">
        <f t="shared" si="57"/>
        <v>19577295.631355911</v>
      </c>
      <c r="H638" s="726">
        <f>+J613*G638+E638</f>
        <v>2609190.6684525623</v>
      </c>
      <c r="I638" s="733">
        <f>+J614*G638+E638</f>
        <v>2609190.6684525623</v>
      </c>
      <c r="J638" s="729">
        <f t="shared" si="58"/>
        <v>0</v>
      </c>
      <c r="K638" s="729"/>
      <c r="L638" s="734"/>
      <c r="M638" s="729">
        <f t="shared" si="59"/>
        <v>0</v>
      </c>
      <c r="N638" s="734"/>
      <c r="O638" s="729">
        <f t="shared" si="60"/>
        <v>0</v>
      </c>
      <c r="P638" s="729">
        <f t="shared" si="61"/>
        <v>0</v>
      </c>
      <c r="Q638" s="677"/>
    </row>
    <row r="639" spans="2:17">
      <c r="B639" s="334"/>
      <c r="C639" s="725">
        <f>IF(D612="","-",+C638+1)</f>
        <v>2037</v>
      </c>
      <c r="D639" s="676">
        <f t="shared" si="62"/>
        <v>19328957.843220316</v>
      </c>
      <c r="E639" s="732">
        <f t="shared" si="63"/>
        <v>496675.57627118647</v>
      </c>
      <c r="F639" s="732">
        <f t="shared" si="56"/>
        <v>18832282.266949128</v>
      </c>
      <c r="G639" s="676">
        <f t="shared" si="57"/>
        <v>19080620.05508472</v>
      </c>
      <c r="H639" s="726">
        <f>+J613*G639+E639</f>
        <v>2555596.2052259729</v>
      </c>
      <c r="I639" s="733">
        <f>+J614*G639+E639</f>
        <v>2555596.2052259729</v>
      </c>
      <c r="J639" s="729">
        <f t="shared" si="58"/>
        <v>0</v>
      </c>
      <c r="K639" s="729"/>
      <c r="L639" s="734"/>
      <c r="M639" s="729">
        <f t="shared" si="59"/>
        <v>0</v>
      </c>
      <c r="N639" s="734"/>
      <c r="O639" s="729">
        <f t="shared" si="60"/>
        <v>0</v>
      </c>
      <c r="P639" s="729">
        <f t="shared" si="61"/>
        <v>0</v>
      </c>
      <c r="Q639" s="677"/>
    </row>
    <row r="640" spans="2:17">
      <c r="B640" s="334"/>
      <c r="C640" s="725">
        <f>IF(D612="","-",+C639+1)</f>
        <v>2038</v>
      </c>
      <c r="D640" s="676">
        <f t="shared" si="62"/>
        <v>18832282.266949128</v>
      </c>
      <c r="E640" s="732">
        <f t="shared" si="63"/>
        <v>496675.57627118647</v>
      </c>
      <c r="F640" s="732">
        <f t="shared" si="56"/>
        <v>18335606.690677941</v>
      </c>
      <c r="G640" s="676">
        <f t="shared" si="57"/>
        <v>18583944.478813536</v>
      </c>
      <c r="H640" s="726">
        <f>+J613*G640+E640</f>
        <v>2502001.7419993845</v>
      </c>
      <c r="I640" s="733">
        <f>+J614*G640+E640</f>
        <v>2502001.7419993845</v>
      </c>
      <c r="J640" s="729">
        <f t="shared" si="58"/>
        <v>0</v>
      </c>
      <c r="K640" s="729"/>
      <c r="L640" s="734"/>
      <c r="M640" s="729">
        <f t="shared" si="59"/>
        <v>0</v>
      </c>
      <c r="N640" s="734"/>
      <c r="O640" s="729">
        <f t="shared" si="60"/>
        <v>0</v>
      </c>
      <c r="P640" s="729">
        <f t="shared" si="61"/>
        <v>0</v>
      </c>
      <c r="Q640" s="677"/>
    </row>
    <row r="641" spans="2:17">
      <c r="B641" s="334"/>
      <c r="C641" s="725">
        <f>IF(D612="","-",+C640+1)</f>
        <v>2039</v>
      </c>
      <c r="D641" s="676">
        <f t="shared" si="62"/>
        <v>18335606.690677941</v>
      </c>
      <c r="E641" s="732">
        <f t="shared" si="63"/>
        <v>496675.57627118647</v>
      </c>
      <c r="F641" s="732">
        <f t="shared" si="56"/>
        <v>17838931.114406753</v>
      </c>
      <c r="G641" s="676">
        <f t="shared" si="57"/>
        <v>18087268.902542345</v>
      </c>
      <c r="H641" s="726">
        <f>+J613*G641+E641</f>
        <v>2448407.2787727946</v>
      </c>
      <c r="I641" s="733">
        <f>+J614*G641+E641</f>
        <v>2448407.2787727946</v>
      </c>
      <c r="J641" s="729">
        <f t="shared" si="58"/>
        <v>0</v>
      </c>
      <c r="K641" s="729"/>
      <c r="L641" s="734"/>
      <c r="M641" s="729">
        <f t="shared" si="59"/>
        <v>0</v>
      </c>
      <c r="N641" s="734"/>
      <c r="O641" s="729">
        <f t="shared" si="60"/>
        <v>0</v>
      </c>
      <c r="P641" s="729">
        <f t="shared" si="61"/>
        <v>0</v>
      </c>
      <c r="Q641" s="677"/>
    </row>
    <row r="642" spans="2:17">
      <c r="B642" s="334"/>
      <c r="C642" s="725">
        <f>IF(D612="","-",+C641+1)</f>
        <v>2040</v>
      </c>
      <c r="D642" s="676">
        <f t="shared" si="62"/>
        <v>17838931.114406753</v>
      </c>
      <c r="E642" s="732">
        <f t="shared" si="63"/>
        <v>496675.57627118647</v>
      </c>
      <c r="F642" s="732">
        <f t="shared" si="56"/>
        <v>17342255.538135566</v>
      </c>
      <c r="G642" s="676">
        <f t="shared" si="57"/>
        <v>17590593.326271161</v>
      </c>
      <c r="H642" s="726">
        <f>+J613*G642+E642</f>
        <v>2394812.8155462062</v>
      </c>
      <c r="I642" s="733">
        <f>+J614*G642+E642</f>
        <v>2394812.8155462062</v>
      </c>
      <c r="J642" s="729">
        <f t="shared" si="58"/>
        <v>0</v>
      </c>
      <c r="K642" s="729"/>
      <c r="L642" s="734"/>
      <c r="M642" s="729">
        <f t="shared" si="59"/>
        <v>0</v>
      </c>
      <c r="N642" s="734"/>
      <c r="O642" s="729">
        <f t="shared" si="60"/>
        <v>0</v>
      </c>
      <c r="P642" s="729">
        <f t="shared" si="61"/>
        <v>0</v>
      </c>
      <c r="Q642" s="677"/>
    </row>
    <row r="643" spans="2:17">
      <c r="B643" s="334"/>
      <c r="C643" s="725">
        <f>IF(D612="","-",+C642+1)</f>
        <v>2041</v>
      </c>
      <c r="D643" s="676">
        <f t="shared" si="62"/>
        <v>17342255.538135566</v>
      </c>
      <c r="E643" s="732">
        <f t="shared" si="63"/>
        <v>496675.57627118647</v>
      </c>
      <c r="F643" s="732">
        <f t="shared" si="56"/>
        <v>16845579.961864378</v>
      </c>
      <c r="G643" s="676">
        <f t="shared" si="57"/>
        <v>17093917.74999997</v>
      </c>
      <c r="H643" s="726">
        <f>+J613*G643+E643</f>
        <v>2341218.3523196168</v>
      </c>
      <c r="I643" s="733">
        <f>+J614*G643+E643</f>
        <v>2341218.3523196168</v>
      </c>
      <c r="J643" s="729">
        <f t="shared" si="58"/>
        <v>0</v>
      </c>
      <c r="K643" s="729"/>
      <c r="L643" s="734"/>
      <c r="M643" s="729">
        <f t="shared" si="59"/>
        <v>0</v>
      </c>
      <c r="N643" s="734"/>
      <c r="O643" s="729">
        <f t="shared" si="60"/>
        <v>0</v>
      </c>
      <c r="P643" s="729">
        <f t="shared" si="61"/>
        <v>0</v>
      </c>
      <c r="Q643" s="677"/>
    </row>
    <row r="644" spans="2:17">
      <c r="B644" s="334"/>
      <c r="C644" s="725">
        <f>IF(D612="","-",+C643+1)</f>
        <v>2042</v>
      </c>
      <c r="D644" s="676">
        <f t="shared" si="62"/>
        <v>16845579.961864378</v>
      </c>
      <c r="E644" s="732">
        <f t="shared" si="63"/>
        <v>496675.57627118647</v>
      </c>
      <c r="F644" s="732">
        <f t="shared" si="56"/>
        <v>16348904.385593193</v>
      </c>
      <c r="G644" s="676">
        <f t="shared" si="57"/>
        <v>16597242.173728786</v>
      </c>
      <c r="H644" s="726">
        <f>+J613*G644+E644</f>
        <v>2287623.8890930284</v>
      </c>
      <c r="I644" s="733">
        <f>+J614*G644+E644</f>
        <v>2287623.8890930284</v>
      </c>
      <c r="J644" s="729">
        <f t="shared" si="58"/>
        <v>0</v>
      </c>
      <c r="K644" s="729"/>
      <c r="L644" s="734"/>
      <c r="M644" s="729">
        <f t="shared" si="59"/>
        <v>0</v>
      </c>
      <c r="N644" s="734"/>
      <c r="O644" s="729">
        <f t="shared" si="60"/>
        <v>0</v>
      </c>
      <c r="P644" s="729">
        <f t="shared" si="61"/>
        <v>0</v>
      </c>
      <c r="Q644" s="677"/>
    </row>
    <row r="645" spans="2:17">
      <c r="B645" s="334"/>
      <c r="C645" s="725">
        <f>IF(D612="","-",+C644+1)</f>
        <v>2043</v>
      </c>
      <c r="D645" s="676">
        <f t="shared" si="62"/>
        <v>16348904.385593193</v>
      </c>
      <c r="E645" s="732">
        <f t="shared" si="63"/>
        <v>496675.57627118647</v>
      </c>
      <c r="F645" s="732">
        <f t="shared" si="56"/>
        <v>15852228.809322007</v>
      </c>
      <c r="G645" s="676">
        <f t="shared" si="57"/>
        <v>16100566.597457599</v>
      </c>
      <c r="H645" s="726">
        <f>+J613*G645+E645</f>
        <v>2234029.4258664395</v>
      </c>
      <c r="I645" s="733">
        <f>+J614*G645+E645</f>
        <v>2234029.4258664395</v>
      </c>
      <c r="J645" s="729">
        <f t="shared" si="58"/>
        <v>0</v>
      </c>
      <c r="K645" s="729"/>
      <c r="L645" s="734"/>
      <c r="M645" s="729">
        <f t="shared" si="59"/>
        <v>0</v>
      </c>
      <c r="N645" s="734"/>
      <c r="O645" s="729">
        <f t="shared" si="60"/>
        <v>0</v>
      </c>
      <c r="P645" s="729">
        <f t="shared" si="61"/>
        <v>0</v>
      </c>
      <c r="Q645" s="677"/>
    </row>
    <row r="646" spans="2:17">
      <c r="B646" s="334"/>
      <c r="C646" s="725">
        <f>IF(D612="","-",+C645+1)</f>
        <v>2044</v>
      </c>
      <c r="D646" s="676">
        <f t="shared" si="62"/>
        <v>15852228.809322007</v>
      </c>
      <c r="E646" s="732">
        <f t="shared" si="63"/>
        <v>496675.57627118647</v>
      </c>
      <c r="F646" s="732">
        <f t="shared" si="56"/>
        <v>15355553.233050821</v>
      </c>
      <c r="G646" s="676">
        <f t="shared" si="57"/>
        <v>15603891.021186415</v>
      </c>
      <c r="H646" s="726">
        <f>+J613*G646+E646</f>
        <v>2180434.9626398506</v>
      </c>
      <c r="I646" s="733">
        <f>+J614*G646+E646</f>
        <v>2180434.9626398506</v>
      </c>
      <c r="J646" s="729">
        <f t="shared" si="58"/>
        <v>0</v>
      </c>
      <c r="K646" s="729"/>
      <c r="L646" s="734"/>
      <c r="M646" s="729">
        <f t="shared" si="59"/>
        <v>0</v>
      </c>
      <c r="N646" s="734"/>
      <c r="O646" s="729">
        <f t="shared" si="60"/>
        <v>0</v>
      </c>
      <c r="P646" s="729">
        <f t="shared" si="61"/>
        <v>0</v>
      </c>
      <c r="Q646" s="677"/>
    </row>
    <row r="647" spans="2:17">
      <c r="B647" s="334"/>
      <c r="C647" s="725">
        <f>IF(D612="","-",+C646+1)</f>
        <v>2045</v>
      </c>
      <c r="D647" s="676">
        <f t="shared" si="62"/>
        <v>15355553.233050821</v>
      </c>
      <c r="E647" s="732">
        <f t="shared" si="63"/>
        <v>496675.57627118647</v>
      </c>
      <c r="F647" s="732">
        <f t="shared" si="56"/>
        <v>14858877.656779636</v>
      </c>
      <c r="G647" s="676">
        <f t="shared" si="57"/>
        <v>15107215.444915228</v>
      </c>
      <c r="H647" s="726">
        <f>+J613*G647+E647</f>
        <v>2126840.4994132617</v>
      </c>
      <c r="I647" s="733">
        <f>+J614*G647+E647</f>
        <v>2126840.4994132617</v>
      </c>
      <c r="J647" s="729">
        <f t="shared" si="58"/>
        <v>0</v>
      </c>
      <c r="K647" s="729"/>
      <c r="L647" s="734"/>
      <c r="M647" s="729">
        <f t="shared" si="59"/>
        <v>0</v>
      </c>
      <c r="N647" s="734"/>
      <c r="O647" s="729">
        <f t="shared" si="60"/>
        <v>0</v>
      </c>
      <c r="P647" s="729">
        <f t="shared" si="61"/>
        <v>0</v>
      </c>
      <c r="Q647" s="677"/>
    </row>
    <row r="648" spans="2:17">
      <c r="B648" s="334"/>
      <c r="C648" s="725">
        <f>IF(D612="","-",+C647+1)</f>
        <v>2046</v>
      </c>
      <c r="D648" s="676">
        <f t="shared" si="62"/>
        <v>14858877.656779636</v>
      </c>
      <c r="E648" s="732">
        <f t="shared" si="63"/>
        <v>496675.57627118647</v>
      </c>
      <c r="F648" s="732">
        <f t="shared" si="56"/>
        <v>14362202.08050845</v>
      </c>
      <c r="G648" s="676">
        <f t="shared" si="57"/>
        <v>14610539.868644044</v>
      </c>
      <c r="H648" s="726">
        <f>+J613*G648+E648</f>
        <v>2073246.0361866732</v>
      </c>
      <c r="I648" s="733">
        <f>+J614*G648+E648</f>
        <v>2073246.0361866732</v>
      </c>
      <c r="J648" s="729">
        <f t="shared" si="58"/>
        <v>0</v>
      </c>
      <c r="K648" s="729"/>
      <c r="L648" s="734"/>
      <c r="M648" s="729">
        <f t="shared" si="59"/>
        <v>0</v>
      </c>
      <c r="N648" s="734"/>
      <c r="O648" s="729">
        <f t="shared" si="60"/>
        <v>0</v>
      </c>
      <c r="P648" s="729">
        <f t="shared" si="61"/>
        <v>0</v>
      </c>
      <c r="Q648" s="677"/>
    </row>
    <row r="649" spans="2:17">
      <c r="B649" s="334"/>
      <c r="C649" s="725">
        <f>IF(D612="","-",+C648+1)</f>
        <v>2047</v>
      </c>
      <c r="D649" s="676">
        <f t="shared" si="62"/>
        <v>14362202.08050845</v>
      </c>
      <c r="E649" s="732">
        <f t="shared" si="63"/>
        <v>496675.57627118647</v>
      </c>
      <c r="F649" s="732">
        <f t="shared" si="56"/>
        <v>13865526.504237264</v>
      </c>
      <c r="G649" s="676">
        <f t="shared" si="57"/>
        <v>14113864.292372856</v>
      </c>
      <c r="H649" s="726">
        <f>+J613*G649+E649</f>
        <v>2019651.5729600843</v>
      </c>
      <c r="I649" s="733">
        <f>+J614*G649+E649</f>
        <v>2019651.5729600843</v>
      </c>
      <c r="J649" s="729">
        <f t="shared" si="58"/>
        <v>0</v>
      </c>
      <c r="K649" s="729"/>
      <c r="L649" s="734"/>
      <c r="M649" s="729">
        <f t="shared" si="59"/>
        <v>0</v>
      </c>
      <c r="N649" s="734"/>
      <c r="O649" s="729">
        <f t="shared" si="60"/>
        <v>0</v>
      </c>
      <c r="P649" s="729">
        <f t="shared" si="61"/>
        <v>0</v>
      </c>
      <c r="Q649" s="677"/>
    </row>
    <row r="650" spans="2:17">
      <c r="B650" s="334"/>
      <c r="C650" s="725">
        <f>IF(D612="","-",+C649+1)</f>
        <v>2048</v>
      </c>
      <c r="D650" s="676">
        <f t="shared" si="62"/>
        <v>13865526.504237264</v>
      </c>
      <c r="E650" s="732">
        <f t="shared" si="63"/>
        <v>496675.57627118647</v>
      </c>
      <c r="F650" s="732">
        <f t="shared" si="56"/>
        <v>13368850.927966079</v>
      </c>
      <c r="G650" s="676">
        <f t="shared" si="57"/>
        <v>13617188.716101673</v>
      </c>
      <c r="H650" s="726">
        <f>+J613*G650+E650</f>
        <v>1966057.1097334954</v>
      </c>
      <c r="I650" s="733">
        <f>+J614*G650+E650</f>
        <v>1966057.1097334954</v>
      </c>
      <c r="J650" s="729">
        <f t="shared" si="58"/>
        <v>0</v>
      </c>
      <c r="K650" s="729"/>
      <c r="L650" s="734"/>
      <c r="M650" s="729">
        <f t="shared" si="59"/>
        <v>0</v>
      </c>
      <c r="N650" s="734"/>
      <c r="O650" s="729">
        <f t="shared" si="60"/>
        <v>0</v>
      </c>
      <c r="P650" s="729">
        <f t="shared" si="61"/>
        <v>0</v>
      </c>
      <c r="Q650" s="677"/>
    </row>
    <row r="651" spans="2:17">
      <c r="B651" s="334"/>
      <c r="C651" s="725">
        <f>IF(D612="","-",+C650+1)</f>
        <v>2049</v>
      </c>
      <c r="D651" s="676">
        <f t="shared" si="62"/>
        <v>13368850.927966079</v>
      </c>
      <c r="E651" s="732">
        <f t="shared" si="63"/>
        <v>496675.57627118647</v>
      </c>
      <c r="F651" s="732">
        <f t="shared" si="56"/>
        <v>12872175.351694893</v>
      </c>
      <c r="G651" s="676">
        <f t="shared" si="57"/>
        <v>13120513.139830485</v>
      </c>
      <c r="H651" s="726">
        <f>+J613*G651+E651</f>
        <v>1912462.6465069065</v>
      </c>
      <c r="I651" s="733">
        <f>+J614*G651+E651</f>
        <v>1912462.6465069065</v>
      </c>
      <c r="J651" s="729">
        <f t="shared" si="58"/>
        <v>0</v>
      </c>
      <c r="K651" s="729"/>
      <c r="L651" s="734"/>
      <c r="M651" s="729">
        <f t="shared" si="59"/>
        <v>0</v>
      </c>
      <c r="N651" s="734"/>
      <c r="O651" s="729">
        <f t="shared" si="60"/>
        <v>0</v>
      </c>
      <c r="P651" s="729">
        <f t="shared" si="61"/>
        <v>0</v>
      </c>
      <c r="Q651" s="677"/>
    </row>
    <row r="652" spans="2:17">
      <c r="B652" s="334"/>
      <c r="C652" s="725">
        <f>IF(D612="","-",+C651+1)</f>
        <v>2050</v>
      </c>
      <c r="D652" s="676">
        <f t="shared" si="62"/>
        <v>12872175.351694893</v>
      </c>
      <c r="E652" s="732">
        <f t="shared" si="63"/>
        <v>496675.57627118647</v>
      </c>
      <c r="F652" s="732">
        <f t="shared" si="56"/>
        <v>12375499.775423707</v>
      </c>
      <c r="G652" s="676">
        <f t="shared" si="57"/>
        <v>12623837.563559301</v>
      </c>
      <c r="H652" s="726">
        <f>+J613*G652+E652</f>
        <v>1858868.183280318</v>
      </c>
      <c r="I652" s="733">
        <f>+J614*G652+E652</f>
        <v>1858868.183280318</v>
      </c>
      <c r="J652" s="729">
        <f t="shared" si="58"/>
        <v>0</v>
      </c>
      <c r="K652" s="729"/>
      <c r="L652" s="734"/>
      <c r="M652" s="729">
        <f t="shared" si="59"/>
        <v>0</v>
      </c>
      <c r="N652" s="734"/>
      <c r="O652" s="729">
        <f t="shared" si="60"/>
        <v>0</v>
      </c>
      <c r="P652" s="729">
        <f t="shared" si="61"/>
        <v>0</v>
      </c>
      <c r="Q652" s="677"/>
    </row>
    <row r="653" spans="2:17">
      <c r="B653" s="334"/>
      <c r="C653" s="725">
        <f>IF(D612="","-",+C652+1)</f>
        <v>2051</v>
      </c>
      <c r="D653" s="676">
        <f t="shared" si="62"/>
        <v>12375499.775423707</v>
      </c>
      <c r="E653" s="732">
        <f t="shared" si="63"/>
        <v>496675.57627118647</v>
      </c>
      <c r="F653" s="732">
        <f t="shared" si="56"/>
        <v>11878824.199152522</v>
      </c>
      <c r="G653" s="676">
        <f t="shared" si="57"/>
        <v>12127161.987288114</v>
      </c>
      <c r="H653" s="726">
        <f>+J613*G653+E653</f>
        <v>1805273.7200537291</v>
      </c>
      <c r="I653" s="733">
        <f>+J614*G653+E653</f>
        <v>1805273.7200537291</v>
      </c>
      <c r="J653" s="729">
        <f t="shared" si="58"/>
        <v>0</v>
      </c>
      <c r="K653" s="729"/>
      <c r="L653" s="734"/>
      <c r="M653" s="729">
        <f t="shared" si="59"/>
        <v>0</v>
      </c>
      <c r="N653" s="734"/>
      <c r="O653" s="729">
        <f t="shared" si="60"/>
        <v>0</v>
      </c>
      <c r="P653" s="729">
        <f t="shared" si="61"/>
        <v>0</v>
      </c>
      <c r="Q653" s="677"/>
    </row>
    <row r="654" spans="2:17">
      <c r="B654" s="334"/>
      <c r="C654" s="725">
        <f>IF(D612="","-",+C653+1)</f>
        <v>2052</v>
      </c>
      <c r="D654" s="676">
        <f t="shared" si="62"/>
        <v>11878824.199152522</v>
      </c>
      <c r="E654" s="732">
        <f t="shared" si="63"/>
        <v>496675.57627118647</v>
      </c>
      <c r="F654" s="732">
        <f t="shared" si="56"/>
        <v>11382148.622881336</v>
      </c>
      <c r="G654" s="676">
        <f t="shared" si="57"/>
        <v>11630486.41101693</v>
      </c>
      <c r="H654" s="726">
        <f>+J613*G654+E654</f>
        <v>1751679.2568271402</v>
      </c>
      <c r="I654" s="733">
        <f>+J614*G654+E654</f>
        <v>1751679.2568271402</v>
      </c>
      <c r="J654" s="729">
        <f t="shared" si="58"/>
        <v>0</v>
      </c>
      <c r="K654" s="729"/>
      <c r="L654" s="734"/>
      <c r="M654" s="729">
        <f t="shared" si="59"/>
        <v>0</v>
      </c>
      <c r="N654" s="734"/>
      <c r="O654" s="729">
        <f t="shared" si="60"/>
        <v>0</v>
      </c>
      <c r="P654" s="729">
        <f t="shared" si="61"/>
        <v>0</v>
      </c>
      <c r="Q654" s="677"/>
    </row>
    <row r="655" spans="2:17">
      <c r="B655" s="334"/>
      <c r="C655" s="725">
        <f>IF(D612="","-",+C654+1)</f>
        <v>2053</v>
      </c>
      <c r="D655" s="676">
        <f t="shared" si="62"/>
        <v>11382148.622881336</v>
      </c>
      <c r="E655" s="732">
        <f t="shared" si="63"/>
        <v>496675.57627118647</v>
      </c>
      <c r="F655" s="732">
        <f t="shared" si="56"/>
        <v>10885473.04661015</v>
      </c>
      <c r="G655" s="676">
        <f t="shared" si="57"/>
        <v>11133810.834745742</v>
      </c>
      <c r="H655" s="726">
        <f>+J613*G655+E655</f>
        <v>1698084.7936005513</v>
      </c>
      <c r="I655" s="733">
        <f>+J614*G655+E655</f>
        <v>1698084.7936005513</v>
      </c>
      <c r="J655" s="729">
        <f t="shared" si="58"/>
        <v>0</v>
      </c>
      <c r="K655" s="729"/>
      <c r="L655" s="734"/>
      <c r="M655" s="729">
        <f t="shared" si="59"/>
        <v>0</v>
      </c>
      <c r="N655" s="734"/>
      <c r="O655" s="729">
        <f t="shared" si="60"/>
        <v>0</v>
      </c>
      <c r="P655" s="729">
        <f t="shared" si="61"/>
        <v>0</v>
      </c>
      <c r="Q655" s="677"/>
    </row>
    <row r="656" spans="2:17">
      <c r="B656" s="334"/>
      <c r="C656" s="725">
        <f>IF(D612="","-",+C655+1)</f>
        <v>2054</v>
      </c>
      <c r="D656" s="676">
        <f t="shared" si="62"/>
        <v>10885473.04661015</v>
      </c>
      <c r="E656" s="732">
        <f t="shared" si="63"/>
        <v>496675.57627118647</v>
      </c>
      <c r="F656" s="732">
        <f t="shared" si="56"/>
        <v>10388797.470338965</v>
      </c>
      <c r="G656" s="676">
        <f t="shared" si="57"/>
        <v>10637135.258474559</v>
      </c>
      <c r="H656" s="726">
        <f>+J613*G656+E656</f>
        <v>1644490.3303739629</v>
      </c>
      <c r="I656" s="733">
        <f>+J614*G656+E656</f>
        <v>1644490.3303739629</v>
      </c>
      <c r="J656" s="729">
        <f t="shared" si="58"/>
        <v>0</v>
      </c>
      <c r="K656" s="729"/>
      <c r="L656" s="734"/>
      <c r="M656" s="729">
        <f t="shared" si="59"/>
        <v>0</v>
      </c>
      <c r="N656" s="734"/>
      <c r="O656" s="729">
        <f t="shared" si="60"/>
        <v>0</v>
      </c>
      <c r="P656" s="729">
        <f t="shared" si="61"/>
        <v>0</v>
      </c>
      <c r="Q656" s="677"/>
    </row>
    <row r="657" spans="2:17">
      <c r="B657" s="334"/>
      <c r="C657" s="725">
        <f>IF(D612="","-",+C656+1)</f>
        <v>2055</v>
      </c>
      <c r="D657" s="676">
        <f t="shared" si="62"/>
        <v>10388797.470338965</v>
      </c>
      <c r="E657" s="732">
        <f t="shared" si="63"/>
        <v>496675.57627118647</v>
      </c>
      <c r="F657" s="732">
        <f t="shared" si="56"/>
        <v>9892121.8940677792</v>
      </c>
      <c r="G657" s="676">
        <f t="shared" si="57"/>
        <v>10140459.682203371</v>
      </c>
      <c r="H657" s="726">
        <f>+J613*G657+E657</f>
        <v>1590895.867147374</v>
      </c>
      <c r="I657" s="733">
        <f>+J614*G657+E657</f>
        <v>1590895.867147374</v>
      </c>
      <c r="J657" s="729">
        <f t="shared" si="58"/>
        <v>0</v>
      </c>
      <c r="K657" s="729"/>
      <c r="L657" s="734"/>
      <c r="M657" s="729">
        <f t="shared" si="59"/>
        <v>0</v>
      </c>
      <c r="N657" s="734"/>
      <c r="O657" s="729">
        <f t="shared" si="60"/>
        <v>0</v>
      </c>
      <c r="P657" s="729">
        <f t="shared" si="61"/>
        <v>0</v>
      </c>
      <c r="Q657" s="677"/>
    </row>
    <row r="658" spans="2:17">
      <c r="B658" s="334"/>
      <c r="C658" s="725">
        <f>IF(D612="","-",+C657+1)</f>
        <v>2056</v>
      </c>
      <c r="D658" s="676">
        <f t="shared" si="62"/>
        <v>9892121.8940677792</v>
      </c>
      <c r="E658" s="732">
        <f t="shared" si="63"/>
        <v>496675.57627118647</v>
      </c>
      <c r="F658" s="732">
        <f t="shared" si="56"/>
        <v>9395446.3177965935</v>
      </c>
      <c r="G658" s="676">
        <f t="shared" si="57"/>
        <v>9643784.1059321873</v>
      </c>
      <c r="H658" s="726">
        <f>+J613*G658+E658</f>
        <v>1537301.4039207853</v>
      </c>
      <c r="I658" s="733">
        <f>+J614*G658+E658</f>
        <v>1537301.4039207853</v>
      </c>
      <c r="J658" s="729">
        <f t="shared" si="58"/>
        <v>0</v>
      </c>
      <c r="K658" s="729"/>
      <c r="L658" s="734"/>
      <c r="M658" s="729">
        <f t="shared" si="59"/>
        <v>0</v>
      </c>
      <c r="N658" s="734"/>
      <c r="O658" s="729">
        <f t="shared" si="60"/>
        <v>0</v>
      </c>
      <c r="P658" s="729">
        <f t="shared" si="61"/>
        <v>0</v>
      </c>
      <c r="Q658" s="677"/>
    </row>
    <row r="659" spans="2:17">
      <c r="B659" s="334"/>
      <c r="C659" s="725">
        <f>IF(D612="","-",+C658+1)</f>
        <v>2057</v>
      </c>
      <c r="D659" s="676">
        <f t="shared" si="62"/>
        <v>9395446.3177965935</v>
      </c>
      <c r="E659" s="732">
        <f t="shared" si="63"/>
        <v>496675.57627118647</v>
      </c>
      <c r="F659" s="732">
        <f t="shared" si="56"/>
        <v>8898770.7415254079</v>
      </c>
      <c r="G659" s="676">
        <f t="shared" si="57"/>
        <v>9147108.5296609998</v>
      </c>
      <c r="H659" s="726">
        <f>+J613*G659+E659</f>
        <v>1483706.9406941961</v>
      </c>
      <c r="I659" s="733">
        <f>+J614*G659+E659</f>
        <v>1483706.9406941961</v>
      </c>
      <c r="J659" s="729">
        <f t="shared" si="58"/>
        <v>0</v>
      </c>
      <c r="K659" s="729"/>
      <c r="L659" s="734"/>
      <c r="M659" s="729">
        <f t="shared" si="59"/>
        <v>0</v>
      </c>
      <c r="N659" s="734"/>
      <c r="O659" s="729">
        <f t="shared" si="60"/>
        <v>0</v>
      </c>
      <c r="P659" s="729">
        <f t="shared" si="61"/>
        <v>0</v>
      </c>
      <c r="Q659" s="677"/>
    </row>
    <row r="660" spans="2:17">
      <c r="B660" s="334"/>
      <c r="C660" s="725">
        <f>IF(D612="","-",+C659+1)</f>
        <v>2058</v>
      </c>
      <c r="D660" s="676">
        <f t="shared" si="62"/>
        <v>8898770.7415254079</v>
      </c>
      <c r="E660" s="732">
        <f t="shared" si="63"/>
        <v>496675.57627118647</v>
      </c>
      <c r="F660" s="732">
        <f t="shared" si="56"/>
        <v>8402095.1652542222</v>
      </c>
      <c r="G660" s="676">
        <f t="shared" si="57"/>
        <v>8650432.953389816</v>
      </c>
      <c r="H660" s="726">
        <f>+J613*G660+E660</f>
        <v>1430112.4774676077</v>
      </c>
      <c r="I660" s="733">
        <f>+J614*G660+E660</f>
        <v>1430112.4774676077</v>
      </c>
      <c r="J660" s="729">
        <f t="shared" si="58"/>
        <v>0</v>
      </c>
      <c r="K660" s="729"/>
      <c r="L660" s="734"/>
      <c r="M660" s="729">
        <f t="shared" si="59"/>
        <v>0</v>
      </c>
      <c r="N660" s="734"/>
      <c r="O660" s="729">
        <f t="shared" si="60"/>
        <v>0</v>
      </c>
      <c r="P660" s="729">
        <f t="shared" si="61"/>
        <v>0</v>
      </c>
      <c r="Q660" s="677"/>
    </row>
    <row r="661" spans="2:17">
      <c r="B661" s="334"/>
      <c r="C661" s="725">
        <f>IF(D612="","-",+C660+1)</f>
        <v>2059</v>
      </c>
      <c r="D661" s="676">
        <f t="shared" si="62"/>
        <v>8402095.1652542222</v>
      </c>
      <c r="E661" s="732">
        <f t="shared" si="63"/>
        <v>496675.57627118647</v>
      </c>
      <c r="F661" s="732">
        <f t="shared" si="56"/>
        <v>7905419.5889830356</v>
      </c>
      <c r="G661" s="676">
        <f t="shared" si="57"/>
        <v>8153757.3771186285</v>
      </c>
      <c r="H661" s="726">
        <f>+J613*G661+E661</f>
        <v>1376518.0142410188</v>
      </c>
      <c r="I661" s="733">
        <f>+J614*G661+E661</f>
        <v>1376518.0142410188</v>
      </c>
      <c r="J661" s="729">
        <f t="shared" si="58"/>
        <v>0</v>
      </c>
      <c r="K661" s="729"/>
      <c r="L661" s="734"/>
      <c r="M661" s="729">
        <f t="shared" si="59"/>
        <v>0</v>
      </c>
      <c r="N661" s="734"/>
      <c r="O661" s="729">
        <f t="shared" si="60"/>
        <v>0</v>
      </c>
      <c r="P661" s="729">
        <f t="shared" si="61"/>
        <v>0</v>
      </c>
      <c r="Q661" s="677"/>
    </row>
    <row r="662" spans="2:17">
      <c r="B662" s="334"/>
      <c r="C662" s="725">
        <f>IF(D612="","-",+C661+1)</f>
        <v>2060</v>
      </c>
      <c r="D662" s="676">
        <f t="shared" si="62"/>
        <v>7905419.5889830356</v>
      </c>
      <c r="E662" s="732">
        <f t="shared" si="63"/>
        <v>496675.57627118647</v>
      </c>
      <c r="F662" s="732">
        <f t="shared" si="56"/>
        <v>7408744.0127118491</v>
      </c>
      <c r="G662" s="676">
        <f t="shared" si="57"/>
        <v>7657081.8008474428</v>
      </c>
      <c r="H662" s="726">
        <f>+J613*G662+E662</f>
        <v>1322923.5510144299</v>
      </c>
      <c r="I662" s="733">
        <f>+J614*G662+E662</f>
        <v>1322923.5510144299</v>
      </c>
      <c r="J662" s="729">
        <f t="shared" si="58"/>
        <v>0</v>
      </c>
      <c r="K662" s="729"/>
      <c r="L662" s="734"/>
      <c r="M662" s="729">
        <f t="shared" si="59"/>
        <v>0</v>
      </c>
      <c r="N662" s="734"/>
      <c r="O662" s="729">
        <f t="shared" si="60"/>
        <v>0</v>
      </c>
      <c r="P662" s="729">
        <f t="shared" si="61"/>
        <v>0</v>
      </c>
      <c r="Q662" s="677"/>
    </row>
    <row r="663" spans="2:17">
      <c r="B663" s="334"/>
      <c r="C663" s="725">
        <f>IF(D612="","-",+C662+1)</f>
        <v>2061</v>
      </c>
      <c r="D663" s="676">
        <f t="shared" si="62"/>
        <v>7408744.0127118491</v>
      </c>
      <c r="E663" s="732">
        <f t="shared" si="63"/>
        <v>496675.57627118647</v>
      </c>
      <c r="F663" s="732">
        <f t="shared" si="56"/>
        <v>6912068.4364406625</v>
      </c>
      <c r="G663" s="676">
        <f t="shared" si="57"/>
        <v>7160406.2245762553</v>
      </c>
      <c r="H663" s="726">
        <f>+J613*G663+E663</f>
        <v>1269329.087787841</v>
      </c>
      <c r="I663" s="733">
        <f>+J614*G663+E663</f>
        <v>1269329.087787841</v>
      </c>
      <c r="J663" s="729">
        <f t="shared" si="58"/>
        <v>0</v>
      </c>
      <c r="K663" s="729"/>
      <c r="L663" s="734"/>
      <c r="M663" s="729">
        <f t="shared" si="59"/>
        <v>0</v>
      </c>
      <c r="N663" s="734"/>
      <c r="O663" s="729">
        <f t="shared" si="60"/>
        <v>0</v>
      </c>
      <c r="P663" s="729">
        <f t="shared" si="61"/>
        <v>0</v>
      </c>
      <c r="Q663" s="677"/>
    </row>
    <row r="664" spans="2:17">
      <c r="B664" s="334"/>
      <c r="C664" s="725">
        <f>IF(D612="","-",+C663+1)</f>
        <v>2062</v>
      </c>
      <c r="D664" s="676">
        <f t="shared" si="62"/>
        <v>6912068.4364406625</v>
      </c>
      <c r="E664" s="732">
        <f t="shared" si="63"/>
        <v>496675.57627118647</v>
      </c>
      <c r="F664" s="732">
        <f t="shared" si="56"/>
        <v>6415392.8601694759</v>
      </c>
      <c r="G664" s="676">
        <f t="shared" si="57"/>
        <v>6663730.6483050697</v>
      </c>
      <c r="H664" s="726">
        <f>+J613*G664+E664</f>
        <v>1215734.6245612521</v>
      </c>
      <c r="I664" s="733">
        <f>+J614*G664+E664</f>
        <v>1215734.6245612521</v>
      </c>
      <c r="J664" s="729">
        <f t="shared" si="58"/>
        <v>0</v>
      </c>
      <c r="K664" s="729"/>
      <c r="L664" s="734"/>
      <c r="M664" s="729">
        <f t="shared" si="59"/>
        <v>0</v>
      </c>
      <c r="N664" s="734"/>
      <c r="O664" s="729">
        <f t="shared" si="60"/>
        <v>0</v>
      </c>
      <c r="P664" s="729">
        <f t="shared" si="61"/>
        <v>0</v>
      </c>
      <c r="Q664" s="677"/>
    </row>
    <row r="665" spans="2:17">
      <c r="B665" s="334"/>
      <c r="C665" s="725">
        <f>IF(D612="","-",+C664+1)</f>
        <v>2063</v>
      </c>
      <c r="D665" s="676">
        <f t="shared" si="62"/>
        <v>6415392.8601694759</v>
      </c>
      <c r="E665" s="732">
        <f t="shared" si="63"/>
        <v>496675.57627118647</v>
      </c>
      <c r="F665" s="732">
        <f t="shared" si="56"/>
        <v>5918717.2838982893</v>
      </c>
      <c r="G665" s="676">
        <f t="shared" si="57"/>
        <v>6167055.0720338821</v>
      </c>
      <c r="H665" s="726">
        <f>+J613*G665+E665</f>
        <v>1162140.1613346632</v>
      </c>
      <c r="I665" s="733">
        <f>+J614*G665+E665</f>
        <v>1162140.1613346632</v>
      </c>
      <c r="J665" s="729">
        <f t="shared" si="58"/>
        <v>0</v>
      </c>
      <c r="K665" s="729"/>
      <c r="L665" s="734"/>
      <c r="M665" s="729">
        <f t="shared" si="59"/>
        <v>0</v>
      </c>
      <c r="N665" s="734"/>
      <c r="O665" s="729">
        <f t="shared" si="60"/>
        <v>0</v>
      </c>
      <c r="P665" s="729">
        <f t="shared" si="61"/>
        <v>0</v>
      </c>
      <c r="Q665" s="677"/>
    </row>
    <row r="666" spans="2:17">
      <c r="B666" s="334"/>
      <c r="C666" s="725">
        <f>IF(D612="","-",+C665+1)</f>
        <v>2064</v>
      </c>
      <c r="D666" s="676">
        <f t="shared" si="62"/>
        <v>5918717.2838982893</v>
      </c>
      <c r="E666" s="732">
        <f t="shared" si="63"/>
        <v>496675.57627118647</v>
      </c>
      <c r="F666" s="732">
        <f t="shared" si="56"/>
        <v>5422041.7076271027</v>
      </c>
      <c r="G666" s="676">
        <f t="shared" si="57"/>
        <v>5670379.4957626965</v>
      </c>
      <c r="H666" s="726">
        <f>+J613*G666+E666</f>
        <v>1108545.6981080743</v>
      </c>
      <c r="I666" s="733">
        <f>+J614*G666+E666</f>
        <v>1108545.6981080743</v>
      </c>
      <c r="J666" s="729">
        <f t="shared" si="58"/>
        <v>0</v>
      </c>
      <c r="K666" s="729"/>
      <c r="L666" s="734"/>
      <c r="M666" s="729">
        <f t="shared" si="59"/>
        <v>0</v>
      </c>
      <c r="N666" s="734"/>
      <c r="O666" s="729">
        <f t="shared" si="60"/>
        <v>0</v>
      </c>
      <c r="P666" s="729">
        <f t="shared" si="61"/>
        <v>0</v>
      </c>
      <c r="Q666" s="677"/>
    </row>
    <row r="667" spans="2:17">
      <c r="B667" s="334"/>
      <c r="C667" s="725">
        <f>IF(D612="","-",+C666+1)</f>
        <v>2065</v>
      </c>
      <c r="D667" s="676">
        <f t="shared" si="62"/>
        <v>5422041.7076271027</v>
      </c>
      <c r="E667" s="732">
        <f t="shared" si="63"/>
        <v>496675.57627118647</v>
      </c>
      <c r="F667" s="732">
        <f t="shared" si="56"/>
        <v>4925366.1313559161</v>
      </c>
      <c r="G667" s="676">
        <f t="shared" si="57"/>
        <v>5173703.919491509</v>
      </c>
      <c r="H667" s="726">
        <f>+J613*G667+E667</f>
        <v>1054951.2348814853</v>
      </c>
      <c r="I667" s="733">
        <f>+J614*G667+E667</f>
        <v>1054951.2348814853</v>
      </c>
      <c r="J667" s="729">
        <f t="shared" si="58"/>
        <v>0</v>
      </c>
      <c r="K667" s="729"/>
      <c r="L667" s="734"/>
      <c r="M667" s="729">
        <f t="shared" si="59"/>
        <v>0</v>
      </c>
      <c r="N667" s="734"/>
      <c r="O667" s="729">
        <f t="shared" si="60"/>
        <v>0</v>
      </c>
      <c r="P667" s="729">
        <f t="shared" si="61"/>
        <v>0</v>
      </c>
      <c r="Q667" s="677"/>
    </row>
    <row r="668" spans="2:17">
      <c r="B668" s="334"/>
      <c r="C668" s="725">
        <f>IF(D612="","-",+C667+1)</f>
        <v>2066</v>
      </c>
      <c r="D668" s="676">
        <f t="shared" si="62"/>
        <v>4925366.1313559161</v>
      </c>
      <c r="E668" s="732">
        <f t="shared" si="63"/>
        <v>496675.57627118647</v>
      </c>
      <c r="F668" s="732">
        <f t="shared" si="56"/>
        <v>4428690.5550847296</v>
      </c>
      <c r="G668" s="676">
        <f t="shared" si="57"/>
        <v>4677028.3432203233</v>
      </c>
      <c r="H668" s="726">
        <f>+J613*G668+E668</f>
        <v>1001356.7716548967</v>
      </c>
      <c r="I668" s="733">
        <f>+J614*G668+E668</f>
        <v>1001356.7716548967</v>
      </c>
      <c r="J668" s="729">
        <f t="shared" si="58"/>
        <v>0</v>
      </c>
      <c r="K668" s="729"/>
      <c r="L668" s="734"/>
      <c r="M668" s="729">
        <f t="shared" si="59"/>
        <v>0</v>
      </c>
      <c r="N668" s="734"/>
      <c r="O668" s="729">
        <f t="shared" si="60"/>
        <v>0</v>
      </c>
      <c r="P668" s="729">
        <f t="shared" si="61"/>
        <v>0</v>
      </c>
      <c r="Q668" s="677"/>
    </row>
    <row r="669" spans="2:17">
      <c r="B669" s="334"/>
      <c r="C669" s="725">
        <f>IF(D612="","-",+C668+1)</f>
        <v>2067</v>
      </c>
      <c r="D669" s="676">
        <f t="shared" si="62"/>
        <v>4428690.5550847296</v>
      </c>
      <c r="E669" s="732">
        <f t="shared" si="63"/>
        <v>496675.57627118647</v>
      </c>
      <c r="F669" s="732">
        <f t="shared" si="56"/>
        <v>3932014.978813543</v>
      </c>
      <c r="G669" s="676">
        <f t="shared" si="57"/>
        <v>4180352.7669491363</v>
      </c>
      <c r="H669" s="726">
        <f>+J613*G669+E669</f>
        <v>947762.30842830776</v>
      </c>
      <c r="I669" s="733">
        <f>+J614*G669+E669</f>
        <v>947762.30842830776</v>
      </c>
      <c r="J669" s="729">
        <f t="shared" si="58"/>
        <v>0</v>
      </c>
      <c r="K669" s="729"/>
      <c r="L669" s="734"/>
      <c r="M669" s="729">
        <f t="shared" si="59"/>
        <v>0</v>
      </c>
      <c r="N669" s="734"/>
      <c r="O669" s="729">
        <f t="shared" si="60"/>
        <v>0</v>
      </c>
      <c r="P669" s="729">
        <f t="shared" si="61"/>
        <v>0</v>
      </c>
      <c r="Q669" s="677"/>
    </row>
    <row r="670" spans="2:17">
      <c r="B670" s="334"/>
      <c r="C670" s="725">
        <f>IF(D612="","-",+C669+1)</f>
        <v>2068</v>
      </c>
      <c r="D670" s="676">
        <f t="shared" si="62"/>
        <v>3932014.978813543</v>
      </c>
      <c r="E670" s="732">
        <f t="shared" si="63"/>
        <v>496675.57627118647</v>
      </c>
      <c r="F670" s="732">
        <f t="shared" si="56"/>
        <v>3435339.4025423564</v>
      </c>
      <c r="G670" s="676">
        <f t="shared" si="57"/>
        <v>3683677.1906779497</v>
      </c>
      <c r="H670" s="726">
        <f>+J613*G670+E670</f>
        <v>894167.84520171885</v>
      </c>
      <c r="I670" s="733">
        <f>+J614*G670+E670</f>
        <v>894167.84520171885</v>
      </c>
      <c r="J670" s="729">
        <f t="shared" si="58"/>
        <v>0</v>
      </c>
      <c r="K670" s="729"/>
      <c r="L670" s="734"/>
      <c r="M670" s="729">
        <f t="shared" si="59"/>
        <v>0</v>
      </c>
      <c r="N670" s="734"/>
      <c r="O670" s="729">
        <f t="shared" si="60"/>
        <v>0</v>
      </c>
      <c r="P670" s="729">
        <f t="shared" si="61"/>
        <v>0</v>
      </c>
      <c r="Q670" s="677"/>
    </row>
    <row r="671" spans="2:17">
      <c r="B671" s="334"/>
      <c r="C671" s="725">
        <f>IF(D612="","-",+C670+1)</f>
        <v>2069</v>
      </c>
      <c r="D671" s="676">
        <f t="shared" si="62"/>
        <v>3435339.4025423564</v>
      </c>
      <c r="E671" s="732">
        <f t="shared" si="63"/>
        <v>496675.57627118647</v>
      </c>
      <c r="F671" s="732">
        <f t="shared" si="56"/>
        <v>2938663.8262711698</v>
      </c>
      <c r="G671" s="676">
        <f t="shared" si="57"/>
        <v>3187001.6144067631</v>
      </c>
      <c r="H671" s="726">
        <f>+J613*G671+E671</f>
        <v>840573.38197512995</v>
      </c>
      <c r="I671" s="733">
        <f>+J614*G671+E671</f>
        <v>840573.38197512995</v>
      </c>
      <c r="J671" s="729">
        <f t="shared" si="58"/>
        <v>0</v>
      </c>
      <c r="K671" s="729"/>
      <c r="L671" s="734"/>
      <c r="M671" s="729">
        <f t="shared" si="59"/>
        <v>0</v>
      </c>
      <c r="N671" s="734"/>
      <c r="O671" s="729">
        <f t="shared" si="60"/>
        <v>0</v>
      </c>
      <c r="P671" s="729">
        <f t="shared" si="61"/>
        <v>0</v>
      </c>
      <c r="Q671" s="677"/>
    </row>
    <row r="672" spans="2:17">
      <c r="B672" s="334"/>
      <c r="C672" s="725">
        <f>IF(D612="","-",+C671+1)</f>
        <v>2070</v>
      </c>
      <c r="D672" s="676">
        <f t="shared" si="62"/>
        <v>2938663.8262711698</v>
      </c>
      <c r="E672" s="732">
        <f t="shared" si="63"/>
        <v>496675.57627118647</v>
      </c>
      <c r="F672" s="732">
        <f t="shared" si="56"/>
        <v>2441988.2499999832</v>
      </c>
      <c r="G672" s="676">
        <f t="shared" si="57"/>
        <v>2690326.0381355765</v>
      </c>
      <c r="H672" s="726">
        <f>+J613*G672+E672</f>
        <v>786978.91874854104</v>
      </c>
      <c r="I672" s="733">
        <f>+J614*G672+E672</f>
        <v>786978.91874854104</v>
      </c>
      <c r="J672" s="729">
        <f t="shared" si="58"/>
        <v>0</v>
      </c>
      <c r="K672" s="729"/>
      <c r="L672" s="734"/>
      <c r="M672" s="729">
        <f t="shared" si="59"/>
        <v>0</v>
      </c>
      <c r="N672" s="734"/>
      <c r="O672" s="729">
        <f t="shared" si="60"/>
        <v>0</v>
      </c>
      <c r="P672" s="729">
        <f t="shared" si="61"/>
        <v>0</v>
      </c>
      <c r="Q672" s="677"/>
    </row>
    <row r="673" spans="1:17">
      <c r="B673" s="334"/>
      <c r="C673" s="725">
        <f>IF(D612="","-",+C672+1)</f>
        <v>2071</v>
      </c>
      <c r="D673" s="676">
        <f t="shared" si="62"/>
        <v>2441988.2499999832</v>
      </c>
      <c r="E673" s="732">
        <f t="shared" si="63"/>
        <v>496675.57627118647</v>
      </c>
      <c r="F673" s="732">
        <f t="shared" si="56"/>
        <v>1945312.6737287967</v>
      </c>
      <c r="G673" s="676">
        <f t="shared" si="57"/>
        <v>2193650.4618643899</v>
      </c>
      <c r="H673" s="726">
        <f>+J613*G673+E673</f>
        <v>733384.45552195213</v>
      </c>
      <c r="I673" s="733">
        <f>+J614*G673+E673</f>
        <v>733384.45552195213</v>
      </c>
      <c r="J673" s="729">
        <f t="shared" si="58"/>
        <v>0</v>
      </c>
      <c r="K673" s="729"/>
      <c r="L673" s="734"/>
      <c r="M673" s="729">
        <f t="shared" si="59"/>
        <v>0</v>
      </c>
      <c r="N673" s="734"/>
      <c r="O673" s="729">
        <f t="shared" si="60"/>
        <v>0</v>
      </c>
      <c r="P673" s="729">
        <f t="shared" si="61"/>
        <v>0</v>
      </c>
      <c r="Q673" s="677"/>
    </row>
    <row r="674" spans="1:17">
      <c r="B674" s="334"/>
      <c r="C674" s="725">
        <f>IF(D612="","-",+C673+1)</f>
        <v>2072</v>
      </c>
      <c r="D674" s="676">
        <f t="shared" si="62"/>
        <v>1945312.6737287967</v>
      </c>
      <c r="E674" s="732">
        <f t="shared" si="63"/>
        <v>496675.57627118647</v>
      </c>
      <c r="F674" s="732">
        <f t="shared" si="56"/>
        <v>1448637.0974576101</v>
      </c>
      <c r="G674" s="676">
        <f t="shared" si="57"/>
        <v>1696974.8855932034</v>
      </c>
      <c r="H674" s="726">
        <f>+J613*G674+E674</f>
        <v>679789.99229536322</v>
      </c>
      <c r="I674" s="733">
        <f>+J614*G674+E674</f>
        <v>679789.99229536322</v>
      </c>
      <c r="J674" s="729">
        <f t="shared" si="58"/>
        <v>0</v>
      </c>
      <c r="K674" s="729"/>
      <c r="L674" s="734"/>
      <c r="M674" s="729">
        <f t="shared" si="59"/>
        <v>0</v>
      </c>
      <c r="N674" s="734"/>
      <c r="O674" s="729">
        <f t="shared" si="60"/>
        <v>0</v>
      </c>
      <c r="P674" s="729">
        <f t="shared" si="61"/>
        <v>0</v>
      </c>
      <c r="Q674" s="677"/>
    </row>
    <row r="675" spans="1:17">
      <c r="B675" s="334"/>
      <c r="C675" s="725">
        <f>IF(D612="","-",+C674+1)</f>
        <v>2073</v>
      </c>
      <c r="D675" s="676">
        <f t="shared" si="62"/>
        <v>1448637.0974576101</v>
      </c>
      <c r="E675" s="732">
        <f t="shared" si="63"/>
        <v>496675.57627118647</v>
      </c>
      <c r="F675" s="732">
        <f t="shared" si="56"/>
        <v>951961.5211864236</v>
      </c>
      <c r="G675" s="676">
        <f t="shared" si="57"/>
        <v>1200299.3093220168</v>
      </c>
      <c r="H675" s="726">
        <f>+J613*G675+E675</f>
        <v>626195.52906877443</v>
      </c>
      <c r="I675" s="733">
        <f>+J614*G675+E675</f>
        <v>626195.52906877443</v>
      </c>
      <c r="J675" s="729">
        <f t="shared" si="58"/>
        <v>0</v>
      </c>
      <c r="K675" s="729"/>
      <c r="L675" s="734"/>
      <c r="M675" s="729">
        <f t="shared" si="59"/>
        <v>0</v>
      </c>
      <c r="N675" s="734"/>
      <c r="O675" s="729">
        <f t="shared" si="60"/>
        <v>0</v>
      </c>
      <c r="P675" s="729">
        <f t="shared" si="61"/>
        <v>0</v>
      </c>
      <c r="Q675" s="677"/>
    </row>
    <row r="676" spans="1:17">
      <c r="B676" s="334"/>
      <c r="C676" s="725">
        <f>IF(D612="","-",+C675+1)</f>
        <v>2074</v>
      </c>
      <c r="D676" s="676">
        <f t="shared" si="62"/>
        <v>951961.5211864236</v>
      </c>
      <c r="E676" s="732">
        <f t="shared" si="63"/>
        <v>496675.57627118647</v>
      </c>
      <c r="F676" s="732">
        <f t="shared" si="56"/>
        <v>455285.94491523714</v>
      </c>
      <c r="G676" s="676">
        <f t="shared" si="57"/>
        <v>703623.73305083043</v>
      </c>
      <c r="H676" s="726">
        <f>+J613*G676+E676</f>
        <v>572601.06584218552</v>
      </c>
      <c r="I676" s="733">
        <f>+J614*G676+E676</f>
        <v>572601.06584218552</v>
      </c>
      <c r="J676" s="729">
        <f t="shared" si="58"/>
        <v>0</v>
      </c>
      <c r="K676" s="729"/>
      <c r="L676" s="734"/>
      <c r="M676" s="729">
        <f t="shared" si="59"/>
        <v>0</v>
      </c>
      <c r="N676" s="734"/>
      <c r="O676" s="729">
        <f t="shared" si="60"/>
        <v>0</v>
      </c>
      <c r="P676" s="729">
        <f t="shared" si="61"/>
        <v>0</v>
      </c>
      <c r="Q676" s="677"/>
    </row>
    <row r="677" spans="1:17" ht="13.5" thickBot="1">
      <c r="B677" s="334"/>
      <c r="C677" s="737">
        <f>IF(D612="","-",+C676+1)</f>
        <v>2075</v>
      </c>
      <c r="D677" s="738">
        <f t="shared" si="62"/>
        <v>455285.94491523714</v>
      </c>
      <c r="E677" s="739">
        <f t="shared" si="63"/>
        <v>455285.94491523714</v>
      </c>
      <c r="F677" s="739">
        <f t="shared" si="56"/>
        <v>0</v>
      </c>
      <c r="G677" s="738">
        <f t="shared" si="57"/>
        <v>227642.97245761857</v>
      </c>
      <c r="H677" s="740">
        <f>+J613*G677+E677</f>
        <v>479850.07389408944</v>
      </c>
      <c r="I677" s="740">
        <f>+J614*G677+E677</f>
        <v>479850.07389408944</v>
      </c>
      <c r="J677" s="741">
        <f t="shared" si="58"/>
        <v>0</v>
      </c>
      <c r="K677" s="729"/>
      <c r="L677" s="742"/>
      <c r="M677" s="741">
        <f t="shared" si="59"/>
        <v>0</v>
      </c>
      <c r="N677" s="742"/>
      <c r="O677" s="741">
        <f t="shared" si="60"/>
        <v>0</v>
      </c>
      <c r="P677" s="741">
        <f t="shared" si="61"/>
        <v>0</v>
      </c>
      <c r="Q677" s="677"/>
    </row>
    <row r="678" spans="1:17">
      <c r="B678" s="334"/>
      <c r="C678" s="676" t="s">
        <v>289</v>
      </c>
      <c r="D678" s="672"/>
      <c r="E678" s="672">
        <f>SUM(E618:E677)</f>
        <v>29303859</v>
      </c>
      <c r="F678" s="672"/>
      <c r="G678" s="672"/>
      <c r="H678" s="672">
        <f>SUM(H618:H677)</f>
        <v>125483589.46538247</v>
      </c>
      <c r="I678" s="672">
        <f>SUM(I618:I677)</f>
        <v>125483589.46538247</v>
      </c>
      <c r="J678" s="672">
        <f>SUM(J618:J677)</f>
        <v>0</v>
      </c>
      <c r="K678" s="672"/>
      <c r="L678" s="672"/>
      <c r="M678" s="672"/>
      <c r="N678" s="672"/>
      <c r="O678" s="672"/>
      <c r="Q678" s="672"/>
    </row>
    <row r="679" spans="1:17">
      <c r="B679" s="334"/>
      <c r="D679" s="566"/>
      <c r="E679" s="543"/>
      <c r="F679" s="543"/>
      <c r="G679" s="543"/>
      <c r="H679" s="543"/>
      <c r="I679" s="649"/>
      <c r="J679" s="649"/>
      <c r="K679" s="672"/>
      <c r="L679" s="649"/>
      <c r="M679" s="649"/>
      <c r="N679" s="649"/>
      <c r="O679" s="649"/>
      <c r="Q679" s="672"/>
    </row>
    <row r="680" spans="1:17">
      <c r="B680" s="334"/>
      <c r="C680" s="543" t="s">
        <v>602</v>
      </c>
      <c r="D680" s="566"/>
      <c r="E680" s="543"/>
      <c r="F680" s="543"/>
      <c r="G680" s="543"/>
      <c r="H680" s="543"/>
      <c r="I680" s="649"/>
      <c r="J680" s="649"/>
      <c r="K680" s="672"/>
      <c r="L680" s="649"/>
      <c r="M680" s="649"/>
      <c r="N680" s="649"/>
      <c r="O680" s="649"/>
      <c r="Q680" s="672"/>
    </row>
    <row r="681" spans="1:17">
      <c r="B681" s="334"/>
      <c r="D681" s="566"/>
      <c r="E681" s="543"/>
      <c r="F681" s="543"/>
      <c r="G681" s="543"/>
      <c r="H681" s="543"/>
      <c r="I681" s="649"/>
      <c r="J681" s="649"/>
      <c r="K681" s="672"/>
      <c r="L681" s="649"/>
      <c r="M681" s="649"/>
      <c r="N681" s="649"/>
      <c r="O681" s="649"/>
      <c r="Q681" s="672"/>
    </row>
    <row r="682" spans="1:17">
      <c r="B682" s="334"/>
      <c r="C682" s="579" t="s">
        <v>603</v>
      </c>
      <c r="D682" s="676"/>
      <c r="E682" s="676"/>
      <c r="F682" s="676"/>
      <c r="G682" s="676"/>
      <c r="H682" s="672"/>
      <c r="I682" s="672"/>
      <c r="J682" s="677"/>
      <c r="K682" s="677"/>
      <c r="L682" s="677"/>
      <c r="M682" s="677"/>
      <c r="N682" s="677"/>
      <c r="O682" s="677"/>
      <c r="Q682" s="677"/>
    </row>
    <row r="683" spans="1:17">
      <c r="B683" s="334"/>
      <c r="C683" s="579" t="s">
        <v>477</v>
      </c>
      <c r="D683" s="676"/>
      <c r="E683" s="676"/>
      <c r="F683" s="676"/>
      <c r="G683" s="676"/>
      <c r="H683" s="672"/>
      <c r="I683" s="672"/>
      <c r="J683" s="677"/>
      <c r="K683" s="677"/>
      <c r="L683" s="677"/>
      <c r="M683" s="677"/>
      <c r="N683" s="677"/>
      <c r="O683" s="677"/>
      <c r="Q683" s="677"/>
    </row>
    <row r="684" spans="1:17">
      <c r="B684" s="334"/>
      <c r="C684" s="579" t="s">
        <v>290</v>
      </c>
      <c r="D684" s="676"/>
      <c r="E684" s="676"/>
      <c r="F684" s="676"/>
      <c r="G684" s="676"/>
      <c r="H684" s="672"/>
      <c r="I684" s="672"/>
      <c r="J684" s="677"/>
      <c r="K684" s="677"/>
      <c r="L684" s="677"/>
      <c r="M684" s="677"/>
      <c r="N684" s="677"/>
      <c r="O684" s="677"/>
      <c r="Q684" s="677"/>
    </row>
    <row r="685" spans="1:17" ht="20.25">
      <c r="A685" s="678" t="s">
        <v>780</v>
      </c>
      <c r="B685" s="543"/>
      <c r="C685" s="658"/>
      <c r="D685" s="566"/>
      <c r="E685" s="543"/>
      <c r="F685" s="648"/>
      <c r="G685" s="648"/>
      <c r="H685" s="543"/>
      <c r="I685" s="649"/>
      <c r="L685" s="679"/>
      <c r="M685" s="679"/>
      <c r="N685" s="679"/>
      <c r="O685" s="594" t="str">
        <f>"Page "&amp;SUM(Q$3:Q685)&amp;" of "</f>
        <v xml:space="preserve">Page 9 of </v>
      </c>
      <c r="P685" s="595">
        <f>COUNT(Q$8:Q$58123)</f>
        <v>15</v>
      </c>
      <c r="Q685" s="763">
        <v>1</v>
      </c>
    </row>
    <row r="686" spans="1:17">
      <c r="B686" s="543"/>
      <c r="C686" s="543"/>
      <c r="D686" s="566"/>
      <c r="E686" s="543"/>
      <c r="F686" s="543"/>
      <c r="G686" s="543"/>
      <c r="H686" s="543"/>
      <c r="I686" s="649"/>
      <c r="J686" s="543"/>
      <c r="K686" s="591"/>
      <c r="Q686" s="591"/>
    </row>
    <row r="687" spans="1:17" ht="18">
      <c r="B687" s="598" t="s">
        <v>175</v>
      </c>
      <c r="C687" s="680" t="s">
        <v>291</v>
      </c>
      <c r="D687" s="566"/>
      <c r="E687" s="543"/>
      <c r="F687" s="543"/>
      <c r="G687" s="543"/>
      <c r="H687" s="543"/>
      <c r="I687" s="649"/>
      <c r="J687" s="649"/>
      <c r="K687" s="672"/>
      <c r="L687" s="649"/>
      <c r="M687" s="649"/>
      <c r="N687" s="649"/>
      <c r="O687" s="649"/>
      <c r="Q687" s="672"/>
    </row>
    <row r="688" spans="1:17" ht="18.75">
      <c r="B688" s="598"/>
      <c r="C688" s="597"/>
      <c r="D688" s="566"/>
      <c r="E688" s="543"/>
      <c r="F688" s="543"/>
      <c r="G688" s="543"/>
      <c r="H688" s="543"/>
      <c r="I688" s="649"/>
      <c r="J688" s="649"/>
      <c r="K688" s="672"/>
      <c r="L688" s="649"/>
      <c r="M688" s="649"/>
      <c r="N688" s="649"/>
      <c r="O688" s="649"/>
      <c r="Q688" s="672"/>
    </row>
    <row r="689" spans="1:17" ht="18.75">
      <c r="B689" s="598"/>
      <c r="C689" s="597" t="s">
        <v>292</v>
      </c>
      <c r="D689" s="566"/>
      <c r="E689" s="543"/>
      <c r="F689" s="543"/>
      <c r="G689" s="543"/>
      <c r="H689" s="543"/>
      <c r="I689" s="649"/>
      <c r="J689" s="649"/>
      <c r="K689" s="672"/>
      <c r="L689" s="649"/>
      <c r="M689" s="649"/>
      <c r="N689" s="649"/>
      <c r="O689" s="649"/>
      <c r="Q689" s="672"/>
    </row>
    <row r="690" spans="1:17" ht="15.75" thickBot="1">
      <c r="B690" s="334"/>
      <c r="C690" s="400"/>
      <c r="D690" s="566"/>
      <c r="E690" s="543"/>
      <c r="F690" s="543"/>
      <c r="G690" s="543"/>
      <c r="H690" s="543"/>
      <c r="I690" s="649"/>
      <c r="J690" s="649"/>
      <c r="K690" s="672"/>
      <c r="L690" s="649"/>
      <c r="M690" s="649"/>
      <c r="N690" s="649"/>
      <c r="O690" s="649"/>
      <c r="Q690" s="672"/>
    </row>
    <row r="691" spans="1:17" ht="15.75">
      <c r="B691" s="334"/>
      <c r="C691" s="599" t="s">
        <v>293</v>
      </c>
      <c r="D691" s="566"/>
      <c r="E691" s="543"/>
      <c r="F691" s="543"/>
      <c r="G691" s="543"/>
      <c r="H691" s="874"/>
      <c r="I691" s="543" t="s">
        <v>272</v>
      </c>
      <c r="J691" s="543"/>
      <c r="K691" s="591"/>
      <c r="L691" s="764">
        <f>+J697</f>
        <v>2018</v>
      </c>
      <c r="M691" s="746" t="s">
        <v>255</v>
      </c>
      <c r="N691" s="746" t="s">
        <v>256</v>
      </c>
      <c r="O691" s="747" t="s">
        <v>257</v>
      </c>
      <c r="Q691" s="591"/>
    </row>
    <row r="692" spans="1:17" ht="15.75">
      <c r="B692" s="334"/>
      <c r="C692" s="599"/>
      <c r="D692" s="566"/>
      <c r="E692" s="543"/>
      <c r="F692" s="543"/>
      <c r="H692" s="543"/>
      <c r="I692" s="684"/>
      <c r="J692" s="684"/>
      <c r="K692" s="685"/>
      <c r="L692" s="765" t="s">
        <v>456</v>
      </c>
      <c r="M692" s="766">
        <f>VLOOKUP(J697,C704:P763,10)</f>
        <v>672821</v>
      </c>
      <c r="N692" s="766">
        <f>VLOOKUP(J697,C704:P763,12)</f>
        <v>672821</v>
      </c>
      <c r="O692" s="767">
        <f>+N692-M692</f>
        <v>0</v>
      </c>
      <c r="Q692" s="685"/>
    </row>
    <row r="693" spans="1:17">
      <c r="B693" s="334"/>
      <c r="C693" s="687" t="s">
        <v>294</v>
      </c>
      <c r="D693" s="1434" t="s">
        <v>1002</v>
      </c>
      <c r="E693" s="1434"/>
      <c r="F693" s="1434"/>
      <c r="G693" s="1434"/>
      <c r="H693" s="1434"/>
      <c r="I693" s="649"/>
      <c r="J693" s="649"/>
      <c r="K693" s="672"/>
      <c r="L693" s="765" t="s">
        <v>457</v>
      </c>
      <c r="M693" s="768">
        <f>VLOOKUP(J697,C704:P763,6)</f>
        <v>659631.53748789069</v>
      </c>
      <c r="N693" s="768">
        <f>VLOOKUP(J697,C704:P763,7)</f>
        <v>659631.53748789069</v>
      </c>
      <c r="O693" s="769">
        <f>+N693-M693</f>
        <v>0</v>
      </c>
      <c r="Q693" s="672"/>
    </row>
    <row r="694" spans="1:17" ht="13.5" thickBot="1">
      <c r="B694" s="334"/>
      <c r="C694" s="689"/>
      <c r="D694" s="690"/>
      <c r="E694" s="674"/>
      <c r="F694" s="674"/>
      <c r="G694" s="674"/>
      <c r="H694" s="691"/>
      <c r="I694" s="649"/>
      <c r="J694" s="649"/>
      <c r="K694" s="672"/>
      <c r="L694" s="710" t="s">
        <v>458</v>
      </c>
      <c r="M694" s="770">
        <f>+M693-M692</f>
        <v>-13189.462512109312</v>
      </c>
      <c r="N694" s="770">
        <f>+N693-N692</f>
        <v>-13189.462512109312</v>
      </c>
      <c r="O694" s="771">
        <f>+O693-O692</f>
        <v>0</v>
      </c>
      <c r="Q694" s="672"/>
    </row>
    <row r="695" spans="1:17" ht="13.5" thickBot="1">
      <c r="B695" s="334"/>
      <c r="C695" s="692"/>
      <c r="D695" s="693"/>
      <c r="E695" s="691"/>
      <c r="F695" s="691"/>
      <c r="G695" s="691"/>
      <c r="H695" s="691"/>
      <c r="I695" s="691"/>
      <c r="J695" s="691"/>
      <c r="K695" s="694"/>
      <c r="L695" s="691"/>
      <c r="M695" s="691"/>
      <c r="N695" s="691"/>
      <c r="O695" s="691"/>
      <c r="P695" s="579"/>
      <c r="Q695" s="694"/>
    </row>
    <row r="696" spans="1:17" ht="13.5" thickBot="1">
      <c r="B696" s="334"/>
      <c r="C696" s="696" t="s">
        <v>295</v>
      </c>
      <c r="D696" s="697"/>
      <c r="E696" s="697"/>
      <c r="F696" s="697"/>
      <c r="G696" s="697"/>
      <c r="H696" s="697"/>
      <c r="I696" s="697"/>
      <c r="J696" s="697"/>
      <c r="K696" s="699"/>
      <c r="P696" s="700"/>
      <c r="Q696" s="699"/>
    </row>
    <row r="697" spans="1:17" ht="15">
      <c r="A697" s="695"/>
      <c r="B697" s="334"/>
      <c r="C697" s="702" t="s">
        <v>273</v>
      </c>
      <c r="D697" s="1268">
        <v>5483986</v>
      </c>
      <c r="E697" s="658" t="s">
        <v>274</v>
      </c>
      <c r="H697" s="703"/>
      <c r="I697" s="703"/>
      <c r="J697" s="704">
        <v>2018</v>
      </c>
      <c r="K697" s="589"/>
      <c r="L697" s="1445" t="s">
        <v>275</v>
      </c>
      <c r="M697" s="1445"/>
      <c r="N697" s="1445"/>
      <c r="O697" s="1445"/>
      <c r="P697" s="591"/>
      <c r="Q697" s="589"/>
    </row>
    <row r="698" spans="1:17">
      <c r="A698" s="695"/>
      <c r="B698" s="334"/>
      <c r="C698" s="702" t="s">
        <v>276</v>
      </c>
      <c r="D698" s="876">
        <v>2015</v>
      </c>
      <c r="E698" s="702" t="s">
        <v>277</v>
      </c>
      <c r="F698" s="703"/>
      <c r="G698" s="703"/>
      <c r="I698" s="334"/>
      <c r="J698" s="879">
        <v>0</v>
      </c>
      <c r="K698" s="705"/>
      <c r="L698" s="672" t="s">
        <v>476</v>
      </c>
      <c r="P698" s="591"/>
      <c r="Q698" s="705"/>
    </row>
    <row r="699" spans="1:17">
      <c r="A699" s="695"/>
      <c r="B699" s="334"/>
      <c r="C699" s="702" t="s">
        <v>278</v>
      </c>
      <c r="D699" s="1269">
        <v>12</v>
      </c>
      <c r="E699" s="702" t="s">
        <v>279</v>
      </c>
      <c r="F699" s="703"/>
      <c r="G699" s="703"/>
      <c r="I699" s="334"/>
      <c r="J699" s="706">
        <f>$F$70</f>
        <v>0.10790637951024619</v>
      </c>
      <c r="K699" s="707"/>
      <c r="L699" s="543" t="str">
        <f>"          INPUT TRUE-UP ARR (WITH &amp; WITHOUT INCENTIVES) FROM EACH PRIOR YEAR"</f>
        <v xml:space="preserve">          INPUT TRUE-UP ARR (WITH &amp; WITHOUT INCENTIVES) FROM EACH PRIOR YEAR</v>
      </c>
      <c r="P699" s="591"/>
      <c r="Q699" s="707"/>
    </row>
    <row r="700" spans="1:17">
      <c r="A700" s="695"/>
      <c r="B700" s="334"/>
      <c r="C700" s="702" t="s">
        <v>280</v>
      </c>
      <c r="D700" s="708">
        <f>H79</f>
        <v>59</v>
      </c>
      <c r="E700" s="702" t="s">
        <v>281</v>
      </c>
      <c r="F700" s="703"/>
      <c r="G700" s="703"/>
      <c r="I700" s="334"/>
      <c r="J700" s="706">
        <f>IF(H691="",J699,$F$69)</f>
        <v>0.10790637951024619</v>
      </c>
      <c r="K700" s="709"/>
      <c r="L700" s="543" t="s">
        <v>363</v>
      </c>
      <c r="M700" s="709"/>
      <c r="N700" s="709"/>
      <c r="O700" s="709"/>
      <c r="P700" s="591"/>
      <c r="Q700" s="709"/>
    </row>
    <row r="701" spans="1:17" ht="13.5" thickBot="1">
      <c r="A701" s="695"/>
      <c r="B701" s="334"/>
      <c r="C701" s="702" t="s">
        <v>282</v>
      </c>
      <c r="D701" s="878" t="s">
        <v>995</v>
      </c>
      <c r="E701" s="710" t="s">
        <v>283</v>
      </c>
      <c r="F701" s="711"/>
      <c r="G701" s="711"/>
      <c r="H701" s="712"/>
      <c r="I701" s="712"/>
      <c r="J701" s="688">
        <f>IF(D697=0,0,D697/D700)</f>
        <v>92948.91525423729</v>
      </c>
      <c r="K701" s="672"/>
      <c r="L701" s="672" t="s">
        <v>364</v>
      </c>
      <c r="M701" s="672"/>
      <c r="N701" s="672"/>
      <c r="O701" s="672"/>
      <c r="P701" s="591"/>
      <c r="Q701" s="672"/>
    </row>
    <row r="702" spans="1:17" ht="38.25">
      <c r="A702" s="530"/>
      <c r="B702" s="530"/>
      <c r="C702" s="713" t="s">
        <v>273</v>
      </c>
      <c r="D702" s="714" t="s">
        <v>284</v>
      </c>
      <c r="E702" s="715" t="s">
        <v>285</v>
      </c>
      <c r="F702" s="714" t="s">
        <v>286</v>
      </c>
      <c r="G702" s="714" t="s">
        <v>459</v>
      </c>
      <c r="H702" s="715" t="s">
        <v>357</v>
      </c>
      <c r="I702" s="716" t="s">
        <v>357</v>
      </c>
      <c r="J702" s="713" t="s">
        <v>296</v>
      </c>
      <c r="K702" s="717"/>
      <c r="L702" s="715" t="s">
        <v>359</v>
      </c>
      <c r="M702" s="715" t="s">
        <v>365</v>
      </c>
      <c r="N702" s="715" t="s">
        <v>359</v>
      </c>
      <c r="O702" s="715" t="s">
        <v>367</v>
      </c>
      <c r="P702" s="715" t="s">
        <v>287</v>
      </c>
      <c r="Q702" s="718"/>
    </row>
    <row r="703" spans="1:17" ht="13.5" thickBot="1">
      <c r="B703" s="334"/>
      <c r="C703" s="719" t="s">
        <v>178</v>
      </c>
      <c r="D703" s="720" t="s">
        <v>179</v>
      </c>
      <c r="E703" s="719" t="s">
        <v>37</v>
      </c>
      <c r="F703" s="720" t="s">
        <v>179</v>
      </c>
      <c r="G703" s="720" t="s">
        <v>179</v>
      </c>
      <c r="H703" s="721" t="s">
        <v>299</v>
      </c>
      <c r="I703" s="722" t="s">
        <v>301</v>
      </c>
      <c r="J703" s="723" t="s">
        <v>390</v>
      </c>
      <c r="K703" s="724"/>
      <c r="L703" s="721" t="s">
        <v>288</v>
      </c>
      <c r="M703" s="721" t="s">
        <v>288</v>
      </c>
      <c r="N703" s="721" t="s">
        <v>468</v>
      </c>
      <c r="O703" s="721" t="s">
        <v>468</v>
      </c>
      <c r="P703" s="721" t="s">
        <v>468</v>
      </c>
      <c r="Q703" s="589"/>
    </row>
    <row r="704" spans="1:17">
      <c r="B704" s="334"/>
      <c r="C704" s="725">
        <f>IF(D698= "","-",D698)</f>
        <v>2015</v>
      </c>
      <c r="D704" s="676">
        <f>+D697</f>
        <v>5483986</v>
      </c>
      <c r="E704" s="726">
        <f>+J701/12*(12-D699)</f>
        <v>0</v>
      </c>
      <c r="F704" s="772">
        <f t="shared" ref="F704:F763" si="64">+D704-E704</f>
        <v>5483986</v>
      </c>
      <c r="G704" s="676">
        <f t="shared" ref="G704:G763" si="65">+(D704+F704)/2</f>
        <v>5483986</v>
      </c>
      <c r="H704" s="727">
        <f>+J699*G704+E704</f>
        <v>591757.07454487693</v>
      </c>
      <c r="I704" s="728">
        <f>+J700*G704+E704</f>
        <v>591757.07454487693</v>
      </c>
      <c r="J704" s="729">
        <f t="shared" ref="J704:J763" si="66">+I704-H704</f>
        <v>0</v>
      </c>
      <c r="K704" s="729"/>
      <c r="L704" s="730">
        <v>9.9999999999999995E-7</v>
      </c>
      <c r="M704" s="773">
        <f t="shared" ref="M704:M763" si="67">IF(L704&lt;&gt;0,+H704-L704,0)</f>
        <v>591757.07454387692</v>
      </c>
      <c r="N704" s="730">
        <v>9.9999999999999995E-7</v>
      </c>
      <c r="O704" s="773">
        <f t="shared" ref="O704:O763" si="68">IF(N704&lt;&gt;0,+I704-N704,0)</f>
        <v>591757.07454387692</v>
      </c>
      <c r="P704" s="773">
        <f t="shared" ref="P704:P763" si="69">+O704-M704</f>
        <v>0</v>
      </c>
      <c r="Q704" s="677"/>
    </row>
    <row r="705" spans="2:17">
      <c r="B705" s="334"/>
      <c r="C705" s="725">
        <f>IF(D698="","-",+C704+1)</f>
        <v>2016</v>
      </c>
      <c r="D705" s="676">
        <f t="shared" ref="D705:D763" si="70">F704</f>
        <v>5483986</v>
      </c>
      <c r="E705" s="732">
        <f>IF(D705&gt;$J$701,$J$701,D705)</f>
        <v>92948.91525423729</v>
      </c>
      <c r="F705" s="732">
        <f t="shared" si="64"/>
        <v>5391037.0847457629</v>
      </c>
      <c r="G705" s="676">
        <f t="shared" si="65"/>
        <v>5437511.5423728814</v>
      </c>
      <c r="H705" s="726">
        <f>+J699*G705+E705</f>
        <v>679691.09933686955</v>
      </c>
      <c r="I705" s="733">
        <f>+J700*G705+E705</f>
        <v>679691.09933686955</v>
      </c>
      <c r="J705" s="729">
        <f t="shared" si="66"/>
        <v>0</v>
      </c>
      <c r="K705" s="729"/>
      <c r="L705" s="1312">
        <v>780577</v>
      </c>
      <c r="M705" s="729">
        <f t="shared" si="67"/>
        <v>-100885.90066313045</v>
      </c>
      <c r="N705" s="1312">
        <v>780577</v>
      </c>
      <c r="O705" s="729">
        <f t="shared" si="68"/>
        <v>-100885.90066313045</v>
      </c>
      <c r="P705" s="729">
        <f t="shared" si="69"/>
        <v>0</v>
      </c>
      <c r="Q705" s="677"/>
    </row>
    <row r="706" spans="2:17">
      <c r="B706" s="334"/>
      <c r="C706" s="725">
        <f>IF(D698="","-",+C705+1)</f>
        <v>2017</v>
      </c>
      <c r="D706" s="1282">
        <f t="shared" si="70"/>
        <v>5391037.0847457629</v>
      </c>
      <c r="E706" s="732">
        <f t="shared" ref="E706:E763" si="71">IF(D706&gt;$J$701,$J$701,D706)</f>
        <v>92948.91525423729</v>
      </c>
      <c r="F706" s="732">
        <f t="shared" si="64"/>
        <v>5298088.1694915257</v>
      </c>
      <c r="G706" s="676">
        <f t="shared" si="65"/>
        <v>5344562.6271186443</v>
      </c>
      <c r="H706" s="726">
        <f>+J699*G706+E706</f>
        <v>669661.31841238006</v>
      </c>
      <c r="I706" s="733">
        <f>+J700*G706+E706</f>
        <v>669661.31841238006</v>
      </c>
      <c r="J706" s="729">
        <f t="shared" si="66"/>
        <v>0</v>
      </c>
      <c r="K706" s="729"/>
      <c r="L706" s="734">
        <v>779062</v>
      </c>
      <c r="M706" s="729">
        <f t="shared" si="67"/>
        <v>-109400.68158761994</v>
      </c>
      <c r="N706" s="734">
        <v>779062</v>
      </c>
      <c r="O706" s="729">
        <f t="shared" si="68"/>
        <v>-109400.68158761994</v>
      </c>
      <c r="P706" s="729">
        <f t="shared" si="69"/>
        <v>0</v>
      </c>
      <c r="Q706" s="677"/>
    </row>
    <row r="707" spans="2:17">
      <c r="B707" s="334"/>
      <c r="C707" s="725">
        <f>IF(D698="","-",+C706+1)</f>
        <v>2018</v>
      </c>
      <c r="D707" s="1311">
        <f t="shared" si="70"/>
        <v>5298088.1694915257</v>
      </c>
      <c r="E707" s="732">
        <f t="shared" si="71"/>
        <v>92948.91525423729</v>
      </c>
      <c r="F707" s="732">
        <f t="shared" si="64"/>
        <v>5205139.2542372886</v>
      </c>
      <c r="G707" s="676">
        <f t="shared" si="65"/>
        <v>5251613.7118644072</v>
      </c>
      <c r="H707" s="726">
        <f>+J699*G707+E707</f>
        <v>659631.53748789069</v>
      </c>
      <c r="I707" s="733">
        <f>+J700*G707+E707</f>
        <v>659631.53748789069</v>
      </c>
      <c r="J707" s="729">
        <f t="shared" si="66"/>
        <v>0</v>
      </c>
      <c r="K707" s="729"/>
      <c r="L707" s="734">
        <v>672821</v>
      </c>
      <c r="M707" s="729">
        <f t="shared" si="67"/>
        <v>-13189.462512109312</v>
      </c>
      <c r="N707" s="734">
        <v>672821</v>
      </c>
      <c r="O707" s="729">
        <f t="shared" si="68"/>
        <v>-13189.462512109312</v>
      </c>
      <c r="P707" s="729">
        <f t="shared" si="69"/>
        <v>0</v>
      </c>
      <c r="Q707" s="677"/>
    </row>
    <row r="708" spans="2:17">
      <c r="B708" s="334"/>
      <c r="C708" s="725">
        <f>IF(D698="","-",+C707+1)</f>
        <v>2019</v>
      </c>
      <c r="D708" s="1282">
        <f t="shared" si="70"/>
        <v>5205139.2542372886</v>
      </c>
      <c r="E708" s="732">
        <f t="shared" si="71"/>
        <v>92948.91525423729</v>
      </c>
      <c r="F708" s="732">
        <f t="shared" si="64"/>
        <v>5112190.3389830515</v>
      </c>
      <c r="G708" s="676">
        <f t="shared" si="65"/>
        <v>5158664.79661017</v>
      </c>
      <c r="H708" s="726">
        <f>+J699*G708+E708</f>
        <v>649601.7565634012</v>
      </c>
      <c r="I708" s="733">
        <f>+J700*G708+E708</f>
        <v>649601.7565634012</v>
      </c>
      <c r="J708" s="729">
        <f t="shared" si="66"/>
        <v>0</v>
      </c>
      <c r="K708" s="729"/>
      <c r="L708" s="734">
        <v>0</v>
      </c>
      <c r="M708" s="729">
        <f t="shared" si="67"/>
        <v>0</v>
      </c>
      <c r="N708" s="734">
        <v>0</v>
      </c>
      <c r="O708" s="729">
        <f t="shared" si="68"/>
        <v>0</v>
      </c>
      <c r="P708" s="729">
        <f t="shared" si="69"/>
        <v>0</v>
      </c>
      <c r="Q708" s="677"/>
    </row>
    <row r="709" spans="2:17">
      <c r="B709" s="334"/>
      <c r="C709" s="725">
        <f>IF(D698="","-",+C708+1)</f>
        <v>2020</v>
      </c>
      <c r="D709" s="676">
        <f t="shared" si="70"/>
        <v>5112190.3389830515</v>
      </c>
      <c r="E709" s="732">
        <f t="shared" si="71"/>
        <v>92948.91525423729</v>
      </c>
      <c r="F709" s="732">
        <f t="shared" si="64"/>
        <v>5019241.4237288143</v>
      </c>
      <c r="G709" s="676">
        <f t="shared" si="65"/>
        <v>5065715.8813559329</v>
      </c>
      <c r="H709" s="726">
        <f>+J699*G709+E709</f>
        <v>639571.97563891183</v>
      </c>
      <c r="I709" s="733">
        <f>+J700*G709+E709</f>
        <v>639571.97563891183</v>
      </c>
      <c r="J709" s="729">
        <f t="shared" si="66"/>
        <v>0</v>
      </c>
      <c r="K709" s="729"/>
      <c r="L709" s="734">
        <v>0</v>
      </c>
      <c r="M709" s="729">
        <f t="shared" si="67"/>
        <v>0</v>
      </c>
      <c r="N709" s="734">
        <v>0</v>
      </c>
      <c r="O709" s="729">
        <f t="shared" si="68"/>
        <v>0</v>
      </c>
      <c r="P709" s="729">
        <f t="shared" si="69"/>
        <v>0</v>
      </c>
      <c r="Q709" s="677"/>
    </row>
    <row r="710" spans="2:17">
      <c r="B710" s="334"/>
      <c r="C710" s="725">
        <f>IF(D698="","-",+C709+1)</f>
        <v>2021</v>
      </c>
      <c r="D710" s="676">
        <f t="shared" si="70"/>
        <v>5019241.4237288143</v>
      </c>
      <c r="E710" s="732">
        <f t="shared" si="71"/>
        <v>92948.91525423729</v>
      </c>
      <c r="F710" s="732">
        <f t="shared" si="64"/>
        <v>4926292.5084745772</v>
      </c>
      <c r="G710" s="676">
        <f t="shared" si="65"/>
        <v>4972766.9661016958</v>
      </c>
      <c r="H710" s="726">
        <f>+J699*G710+E710</f>
        <v>629542.19471442234</v>
      </c>
      <c r="I710" s="733">
        <f>+J700*G710+E710</f>
        <v>629542.19471442234</v>
      </c>
      <c r="J710" s="729">
        <f t="shared" si="66"/>
        <v>0</v>
      </c>
      <c r="K710" s="729"/>
      <c r="L710" s="734">
        <v>0</v>
      </c>
      <c r="M710" s="729">
        <f t="shared" si="67"/>
        <v>0</v>
      </c>
      <c r="N710" s="734">
        <v>0</v>
      </c>
      <c r="O710" s="729">
        <f t="shared" si="68"/>
        <v>0</v>
      </c>
      <c r="P710" s="729">
        <f t="shared" si="69"/>
        <v>0</v>
      </c>
      <c r="Q710" s="677"/>
    </row>
    <row r="711" spans="2:17">
      <c r="B711" s="334"/>
      <c r="C711" s="725">
        <f>IF(D698="","-",+C710+1)</f>
        <v>2022</v>
      </c>
      <c r="D711" s="676">
        <f t="shared" si="70"/>
        <v>4926292.5084745772</v>
      </c>
      <c r="E711" s="732">
        <f t="shared" si="71"/>
        <v>92948.91525423729</v>
      </c>
      <c r="F711" s="732">
        <f t="shared" si="64"/>
        <v>4833343.5932203401</v>
      </c>
      <c r="G711" s="676">
        <f t="shared" si="65"/>
        <v>4879818.0508474587</v>
      </c>
      <c r="H711" s="726">
        <f>+J699*G711+E711</f>
        <v>619512.41378993297</v>
      </c>
      <c r="I711" s="733">
        <f>+J700*G711+E711</f>
        <v>619512.41378993297</v>
      </c>
      <c r="J711" s="729">
        <f t="shared" si="66"/>
        <v>0</v>
      </c>
      <c r="K711" s="729"/>
      <c r="L711" s="734">
        <v>0</v>
      </c>
      <c r="M711" s="729">
        <f t="shared" si="67"/>
        <v>0</v>
      </c>
      <c r="N711" s="734">
        <v>0</v>
      </c>
      <c r="O711" s="729">
        <f t="shared" si="68"/>
        <v>0</v>
      </c>
      <c r="P711" s="729">
        <f t="shared" si="69"/>
        <v>0</v>
      </c>
      <c r="Q711" s="677"/>
    </row>
    <row r="712" spans="2:17">
      <c r="B712" s="334"/>
      <c r="C712" s="725">
        <f>IF(D698="","-",+C711+1)</f>
        <v>2023</v>
      </c>
      <c r="D712" s="676">
        <f t="shared" si="70"/>
        <v>4833343.5932203401</v>
      </c>
      <c r="E712" s="732">
        <f t="shared" si="71"/>
        <v>92948.91525423729</v>
      </c>
      <c r="F712" s="732">
        <f t="shared" si="64"/>
        <v>4740394.677966103</v>
      </c>
      <c r="G712" s="676">
        <f t="shared" si="65"/>
        <v>4786869.1355932215</v>
      </c>
      <c r="H712" s="726">
        <f>+J699*G712+E712</f>
        <v>609482.63286544359</v>
      </c>
      <c r="I712" s="733">
        <f>+J700*G712+E712</f>
        <v>609482.63286544359</v>
      </c>
      <c r="J712" s="729">
        <f t="shared" si="66"/>
        <v>0</v>
      </c>
      <c r="K712" s="729"/>
      <c r="L712" s="734">
        <v>0</v>
      </c>
      <c r="M712" s="729">
        <f t="shared" si="67"/>
        <v>0</v>
      </c>
      <c r="N712" s="734">
        <v>0</v>
      </c>
      <c r="O712" s="729">
        <f t="shared" si="68"/>
        <v>0</v>
      </c>
      <c r="P712" s="729">
        <f t="shared" si="69"/>
        <v>0</v>
      </c>
      <c r="Q712" s="677"/>
    </row>
    <row r="713" spans="2:17">
      <c r="B713" s="334"/>
      <c r="C713" s="725">
        <f>IF(D698="","-",+C712+1)</f>
        <v>2024</v>
      </c>
      <c r="D713" s="676">
        <f t="shared" si="70"/>
        <v>4740394.677966103</v>
      </c>
      <c r="E713" s="732">
        <f t="shared" si="71"/>
        <v>92948.91525423729</v>
      </c>
      <c r="F713" s="732">
        <f t="shared" si="64"/>
        <v>4647445.7627118658</v>
      </c>
      <c r="G713" s="676">
        <f t="shared" si="65"/>
        <v>4693920.2203389844</v>
      </c>
      <c r="H713" s="726">
        <f>+J699*G713+E713</f>
        <v>599452.8519409541</v>
      </c>
      <c r="I713" s="733">
        <f>+J700*G713+E713</f>
        <v>599452.8519409541</v>
      </c>
      <c r="J713" s="729">
        <f t="shared" si="66"/>
        <v>0</v>
      </c>
      <c r="K713" s="729"/>
      <c r="L713" s="734">
        <v>0</v>
      </c>
      <c r="M713" s="729">
        <f t="shared" si="67"/>
        <v>0</v>
      </c>
      <c r="N713" s="734">
        <v>0</v>
      </c>
      <c r="O713" s="729">
        <f t="shared" si="68"/>
        <v>0</v>
      </c>
      <c r="P713" s="729">
        <f t="shared" si="69"/>
        <v>0</v>
      </c>
      <c r="Q713" s="677"/>
    </row>
    <row r="714" spans="2:17">
      <c r="B714" s="334"/>
      <c r="C714" s="725">
        <f>IF(D698="","-",+C713+1)</f>
        <v>2025</v>
      </c>
      <c r="D714" s="676">
        <f t="shared" si="70"/>
        <v>4647445.7627118658</v>
      </c>
      <c r="E714" s="732">
        <f t="shared" si="71"/>
        <v>92948.91525423729</v>
      </c>
      <c r="F714" s="732">
        <f t="shared" si="64"/>
        <v>4554496.8474576287</v>
      </c>
      <c r="G714" s="676">
        <f t="shared" si="65"/>
        <v>4600971.3050847473</v>
      </c>
      <c r="H714" s="726">
        <f>+J699*G714+E714</f>
        <v>589423.07101646473</v>
      </c>
      <c r="I714" s="733">
        <f>+J700*G714+E714</f>
        <v>589423.07101646473</v>
      </c>
      <c r="J714" s="729">
        <f t="shared" si="66"/>
        <v>0</v>
      </c>
      <c r="K714" s="729"/>
      <c r="L714" s="734">
        <v>0</v>
      </c>
      <c r="M714" s="729">
        <f t="shared" si="67"/>
        <v>0</v>
      </c>
      <c r="N714" s="734">
        <v>0</v>
      </c>
      <c r="O714" s="729">
        <f t="shared" si="68"/>
        <v>0</v>
      </c>
      <c r="P714" s="729">
        <f t="shared" si="69"/>
        <v>0</v>
      </c>
      <c r="Q714" s="677"/>
    </row>
    <row r="715" spans="2:17">
      <c r="B715" s="334"/>
      <c r="C715" s="725">
        <f>IF(D698="","-",+C714+1)</f>
        <v>2026</v>
      </c>
      <c r="D715" s="676">
        <f t="shared" si="70"/>
        <v>4554496.8474576287</v>
      </c>
      <c r="E715" s="732">
        <f t="shared" si="71"/>
        <v>92948.91525423729</v>
      </c>
      <c r="F715" s="732">
        <f t="shared" si="64"/>
        <v>4461547.9322033916</v>
      </c>
      <c r="G715" s="676">
        <f t="shared" si="65"/>
        <v>4508022.3898305101</v>
      </c>
      <c r="H715" s="726">
        <f>+J699*G715+E715</f>
        <v>579393.29009197524</v>
      </c>
      <c r="I715" s="733">
        <f>+J700*G715+E715</f>
        <v>579393.29009197524</v>
      </c>
      <c r="J715" s="729">
        <f t="shared" si="66"/>
        <v>0</v>
      </c>
      <c r="K715" s="729"/>
      <c r="L715" s="734"/>
      <c r="M715" s="729">
        <f t="shared" si="67"/>
        <v>0</v>
      </c>
      <c r="N715" s="734"/>
      <c r="O715" s="729">
        <f t="shared" si="68"/>
        <v>0</v>
      </c>
      <c r="P715" s="729">
        <f t="shared" si="69"/>
        <v>0</v>
      </c>
      <c r="Q715" s="677"/>
    </row>
    <row r="716" spans="2:17">
      <c r="B716" s="334"/>
      <c r="C716" s="725">
        <f>IF(D698="","-",+C715+1)</f>
        <v>2027</v>
      </c>
      <c r="D716" s="676">
        <f t="shared" si="70"/>
        <v>4461547.9322033916</v>
      </c>
      <c r="E716" s="732">
        <f t="shared" si="71"/>
        <v>92948.91525423729</v>
      </c>
      <c r="F716" s="732">
        <f t="shared" si="64"/>
        <v>4368599.0169491544</v>
      </c>
      <c r="G716" s="676">
        <f t="shared" si="65"/>
        <v>4415073.474576273</v>
      </c>
      <c r="H716" s="726">
        <f>+J699*G716+E716</f>
        <v>569363.50916748587</v>
      </c>
      <c r="I716" s="733">
        <f>+J700*G716+E716</f>
        <v>569363.50916748587</v>
      </c>
      <c r="J716" s="729">
        <f t="shared" si="66"/>
        <v>0</v>
      </c>
      <c r="K716" s="729"/>
      <c r="L716" s="734"/>
      <c r="M716" s="729">
        <f t="shared" si="67"/>
        <v>0</v>
      </c>
      <c r="N716" s="734"/>
      <c r="O716" s="729">
        <f t="shared" si="68"/>
        <v>0</v>
      </c>
      <c r="P716" s="729">
        <f t="shared" si="69"/>
        <v>0</v>
      </c>
      <c r="Q716" s="677"/>
    </row>
    <row r="717" spans="2:17">
      <c r="B717" s="334"/>
      <c r="C717" s="725">
        <f>IF(D698="","-",+C716+1)</f>
        <v>2028</v>
      </c>
      <c r="D717" s="676">
        <f t="shared" si="70"/>
        <v>4368599.0169491544</v>
      </c>
      <c r="E717" s="732">
        <f t="shared" si="71"/>
        <v>92948.91525423729</v>
      </c>
      <c r="F717" s="732">
        <f t="shared" si="64"/>
        <v>4275650.1016949173</v>
      </c>
      <c r="G717" s="676">
        <f t="shared" si="65"/>
        <v>4322124.5593220359</v>
      </c>
      <c r="H717" s="726">
        <f>+J699*G717+E717</f>
        <v>559333.7282429965</v>
      </c>
      <c r="I717" s="733">
        <f>+J700*G717+E717</f>
        <v>559333.7282429965</v>
      </c>
      <c r="J717" s="729">
        <f t="shared" si="66"/>
        <v>0</v>
      </c>
      <c r="K717" s="729"/>
      <c r="L717" s="734"/>
      <c r="M717" s="729">
        <f t="shared" si="67"/>
        <v>0</v>
      </c>
      <c r="N717" s="734"/>
      <c r="O717" s="729">
        <f t="shared" si="68"/>
        <v>0</v>
      </c>
      <c r="P717" s="729">
        <f t="shared" si="69"/>
        <v>0</v>
      </c>
      <c r="Q717" s="677"/>
    </row>
    <row r="718" spans="2:17">
      <c r="B718" s="334"/>
      <c r="C718" s="725">
        <f>IF(D698="","-",+C717+1)</f>
        <v>2029</v>
      </c>
      <c r="D718" s="676">
        <f t="shared" si="70"/>
        <v>4275650.1016949173</v>
      </c>
      <c r="E718" s="732">
        <f t="shared" si="71"/>
        <v>92948.91525423729</v>
      </c>
      <c r="F718" s="732">
        <f t="shared" si="64"/>
        <v>4182701.1864406802</v>
      </c>
      <c r="G718" s="676">
        <f t="shared" si="65"/>
        <v>4229175.6440677987</v>
      </c>
      <c r="H718" s="726">
        <f>+J699*G718+E718</f>
        <v>549303.94731850701</v>
      </c>
      <c r="I718" s="733">
        <f>+J700*G718+E718</f>
        <v>549303.94731850701</v>
      </c>
      <c r="J718" s="729">
        <f t="shared" si="66"/>
        <v>0</v>
      </c>
      <c r="K718" s="729"/>
      <c r="L718" s="734"/>
      <c r="M718" s="729">
        <f t="shared" si="67"/>
        <v>0</v>
      </c>
      <c r="N718" s="734"/>
      <c r="O718" s="729">
        <f t="shared" si="68"/>
        <v>0</v>
      </c>
      <c r="P718" s="729">
        <f t="shared" si="69"/>
        <v>0</v>
      </c>
      <c r="Q718" s="677"/>
    </row>
    <row r="719" spans="2:17">
      <c r="B719" s="334"/>
      <c r="C719" s="725">
        <f>IF(D698="","-",+C718+1)</f>
        <v>2030</v>
      </c>
      <c r="D719" s="676">
        <f t="shared" si="70"/>
        <v>4182701.1864406802</v>
      </c>
      <c r="E719" s="732">
        <f t="shared" si="71"/>
        <v>92948.91525423729</v>
      </c>
      <c r="F719" s="732">
        <f t="shared" si="64"/>
        <v>4089752.271186443</v>
      </c>
      <c r="G719" s="676">
        <f t="shared" si="65"/>
        <v>4136226.7288135616</v>
      </c>
      <c r="H719" s="726">
        <f>+J699*G719+E719</f>
        <v>539274.16639401764</v>
      </c>
      <c r="I719" s="733">
        <f>+J700*G719+E719</f>
        <v>539274.16639401764</v>
      </c>
      <c r="J719" s="729">
        <f t="shared" si="66"/>
        <v>0</v>
      </c>
      <c r="K719" s="729"/>
      <c r="L719" s="734"/>
      <c r="M719" s="729">
        <f t="shared" si="67"/>
        <v>0</v>
      </c>
      <c r="N719" s="734"/>
      <c r="O719" s="729">
        <f t="shared" si="68"/>
        <v>0</v>
      </c>
      <c r="P719" s="729">
        <f t="shared" si="69"/>
        <v>0</v>
      </c>
      <c r="Q719" s="677"/>
    </row>
    <row r="720" spans="2:17">
      <c r="B720" s="334"/>
      <c r="C720" s="725">
        <f>IF(D698="","-",+C719+1)</f>
        <v>2031</v>
      </c>
      <c r="D720" s="676">
        <f t="shared" si="70"/>
        <v>4089752.271186443</v>
      </c>
      <c r="E720" s="732">
        <f t="shared" si="71"/>
        <v>92948.91525423729</v>
      </c>
      <c r="F720" s="732">
        <f t="shared" si="64"/>
        <v>3996803.3559322059</v>
      </c>
      <c r="G720" s="676">
        <f t="shared" si="65"/>
        <v>4043277.8135593245</v>
      </c>
      <c r="H720" s="726">
        <f>+J699*G720+E720</f>
        <v>529244.38546952815</v>
      </c>
      <c r="I720" s="733">
        <f>+J700*G720+E720</f>
        <v>529244.38546952815</v>
      </c>
      <c r="J720" s="729">
        <f t="shared" si="66"/>
        <v>0</v>
      </c>
      <c r="K720" s="729"/>
      <c r="L720" s="734"/>
      <c r="M720" s="729">
        <f t="shared" si="67"/>
        <v>0</v>
      </c>
      <c r="N720" s="734"/>
      <c r="O720" s="729">
        <f t="shared" si="68"/>
        <v>0</v>
      </c>
      <c r="P720" s="729">
        <f t="shared" si="69"/>
        <v>0</v>
      </c>
      <c r="Q720" s="677"/>
    </row>
    <row r="721" spans="2:17">
      <c r="B721" s="334"/>
      <c r="C721" s="725">
        <f>IF(D698="","-",+C720+1)</f>
        <v>2032</v>
      </c>
      <c r="D721" s="676">
        <f t="shared" si="70"/>
        <v>3996803.3559322059</v>
      </c>
      <c r="E721" s="732">
        <f t="shared" si="71"/>
        <v>92948.91525423729</v>
      </c>
      <c r="F721" s="732">
        <f t="shared" si="64"/>
        <v>3903854.4406779688</v>
      </c>
      <c r="G721" s="676">
        <f t="shared" si="65"/>
        <v>3950328.8983050874</v>
      </c>
      <c r="H721" s="726">
        <f>+J699*G721+E721</f>
        <v>519214.60454503878</v>
      </c>
      <c r="I721" s="733">
        <f>+J700*G721+E721</f>
        <v>519214.60454503878</v>
      </c>
      <c r="J721" s="729">
        <f t="shared" si="66"/>
        <v>0</v>
      </c>
      <c r="K721" s="729"/>
      <c r="L721" s="734"/>
      <c r="M721" s="729">
        <f t="shared" si="67"/>
        <v>0</v>
      </c>
      <c r="N721" s="734"/>
      <c r="O721" s="729">
        <f t="shared" si="68"/>
        <v>0</v>
      </c>
      <c r="P721" s="729">
        <f t="shared" si="69"/>
        <v>0</v>
      </c>
      <c r="Q721" s="677"/>
    </row>
    <row r="722" spans="2:17">
      <c r="B722" s="334"/>
      <c r="C722" s="725">
        <f>IF(D698="","-",+C721+1)</f>
        <v>2033</v>
      </c>
      <c r="D722" s="676">
        <f t="shared" si="70"/>
        <v>3903854.4406779688</v>
      </c>
      <c r="E722" s="732">
        <f t="shared" si="71"/>
        <v>92948.91525423729</v>
      </c>
      <c r="F722" s="732">
        <f t="shared" si="64"/>
        <v>3810905.5254237317</v>
      </c>
      <c r="G722" s="676">
        <f t="shared" si="65"/>
        <v>3857379.9830508502</v>
      </c>
      <c r="H722" s="726">
        <f>+J699*G722+E722</f>
        <v>509184.82362054934</v>
      </c>
      <c r="I722" s="733">
        <f>+J700*G722+E722</f>
        <v>509184.82362054934</v>
      </c>
      <c r="J722" s="729">
        <f t="shared" si="66"/>
        <v>0</v>
      </c>
      <c r="K722" s="729"/>
      <c r="L722" s="734"/>
      <c r="M722" s="729">
        <f t="shared" si="67"/>
        <v>0</v>
      </c>
      <c r="N722" s="734"/>
      <c r="O722" s="729">
        <f t="shared" si="68"/>
        <v>0</v>
      </c>
      <c r="P722" s="729">
        <f t="shared" si="69"/>
        <v>0</v>
      </c>
      <c r="Q722" s="677"/>
    </row>
    <row r="723" spans="2:17">
      <c r="B723" s="334"/>
      <c r="C723" s="725">
        <f>IF(D698="","-",+C722+1)</f>
        <v>2034</v>
      </c>
      <c r="D723" s="676">
        <f t="shared" si="70"/>
        <v>3810905.5254237317</v>
      </c>
      <c r="E723" s="732">
        <f t="shared" si="71"/>
        <v>92948.91525423729</v>
      </c>
      <c r="F723" s="732">
        <f t="shared" si="64"/>
        <v>3717956.6101694945</v>
      </c>
      <c r="G723" s="676">
        <f t="shared" si="65"/>
        <v>3764431.0677966131</v>
      </c>
      <c r="H723" s="726">
        <f>+J699*G723+E723</f>
        <v>499155.04269605991</v>
      </c>
      <c r="I723" s="733">
        <f>+J700*G723+E723</f>
        <v>499155.04269605991</v>
      </c>
      <c r="J723" s="729">
        <f t="shared" si="66"/>
        <v>0</v>
      </c>
      <c r="K723" s="729"/>
      <c r="L723" s="734"/>
      <c r="M723" s="729">
        <f t="shared" si="67"/>
        <v>0</v>
      </c>
      <c r="N723" s="734"/>
      <c r="O723" s="729">
        <f t="shared" si="68"/>
        <v>0</v>
      </c>
      <c r="P723" s="729">
        <f t="shared" si="69"/>
        <v>0</v>
      </c>
      <c r="Q723" s="677"/>
    </row>
    <row r="724" spans="2:17">
      <c r="B724" s="334"/>
      <c r="C724" s="725">
        <f>IF(D698="","-",+C723+1)</f>
        <v>2035</v>
      </c>
      <c r="D724" s="676">
        <f t="shared" si="70"/>
        <v>3717956.6101694945</v>
      </c>
      <c r="E724" s="732">
        <f t="shared" si="71"/>
        <v>92948.91525423729</v>
      </c>
      <c r="F724" s="732">
        <f t="shared" si="64"/>
        <v>3625007.6949152574</v>
      </c>
      <c r="G724" s="676">
        <f t="shared" si="65"/>
        <v>3671482.152542376</v>
      </c>
      <c r="H724" s="726">
        <f>+J699*G724+E724</f>
        <v>489125.26177157054</v>
      </c>
      <c r="I724" s="733">
        <f>+J700*G724+E724</f>
        <v>489125.26177157054</v>
      </c>
      <c r="J724" s="729">
        <f t="shared" si="66"/>
        <v>0</v>
      </c>
      <c r="K724" s="729"/>
      <c r="L724" s="734"/>
      <c r="M724" s="729">
        <f t="shared" si="67"/>
        <v>0</v>
      </c>
      <c r="N724" s="734"/>
      <c r="O724" s="729">
        <f t="shared" si="68"/>
        <v>0</v>
      </c>
      <c r="P724" s="729">
        <f t="shared" si="69"/>
        <v>0</v>
      </c>
      <c r="Q724" s="677"/>
    </row>
    <row r="725" spans="2:17">
      <c r="B725" s="334"/>
      <c r="C725" s="725">
        <f>IF(D698="","-",+C724+1)</f>
        <v>2036</v>
      </c>
      <c r="D725" s="676">
        <f t="shared" si="70"/>
        <v>3625007.6949152574</v>
      </c>
      <c r="E725" s="732">
        <f t="shared" si="71"/>
        <v>92948.91525423729</v>
      </c>
      <c r="F725" s="732">
        <f t="shared" si="64"/>
        <v>3532058.7796610203</v>
      </c>
      <c r="G725" s="676">
        <f t="shared" si="65"/>
        <v>3578533.2372881388</v>
      </c>
      <c r="H725" s="726">
        <f>+J699*G725+E725</f>
        <v>479095.48084708111</v>
      </c>
      <c r="I725" s="733">
        <f>+J700*G725+E725</f>
        <v>479095.48084708111</v>
      </c>
      <c r="J725" s="729">
        <f t="shared" si="66"/>
        <v>0</v>
      </c>
      <c r="K725" s="729"/>
      <c r="L725" s="734"/>
      <c r="M725" s="729">
        <f t="shared" si="67"/>
        <v>0</v>
      </c>
      <c r="N725" s="734"/>
      <c r="O725" s="729">
        <f t="shared" si="68"/>
        <v>0</v>
      </c>
      <c r="P725" s="729">
        <f t="shared" si="69"/>
        <v>0</v>
      </c>
      <c r="Q725" s="677"/>
    </row>
    <row r="726" spans="2:17">
      <c r="B726" s="334"/>
      <c r="C726" s="725">
        <f>IF(D698="","-",+C725+1)</f>
        <v>2037</v>
      </c>
      <c r="D726" s="676">
        <f t="shared" si="70"/>
        <v>3532058.7796610203</v>
      </c>
      <c r="E726" s="732">
        <f t="shared" si="71"/>
        <v>92948.91525423729</v>
      </c>
      <c r="F726" s="732">
        <f t="shared" si="64"/>
        <v>3439109.8644067831</v>
      </c>
      <c r="G726" s="676">
        <f t="shared" si="65"/>
        <v>3485584.3220339017</v>
      </c>
      <c r="H726" s="726">
        <f>+J699*G726+E726</f>
        <v>469065.69992259168</v>
      </c>
      <c r="I726" s="733">
        <f>+J700*G726+E726</f>
        <v>469065.69992259168</v>
      </c>
      <c r="J726" s="729">
        <f t="shared" si="66"/>
        <v>0</v>
      </c>
      <c r="K726" s="729"/>
      <c r="L726" s="734"/>
      <c r="M726" s="729">
        <f t="shared" si="67"/>
        <v>0</v>
      </c>
      <c r="N726" s="734"/>
      <c r="O726" s="729">
        <f t="shared" si="68"/>
        <v>0</v>
      </c>
      <c r="P726" s="729">
        <f t="shared" si="69"/>
        <v>0</v>
      </c>
      <c r="Q726" s="677"/>
    </row>
    <row r="727" spans="2:17">
      <c r="B727" s="334"/>
      <c r="C727" s="725">
        <f>IF(D698="","-",+C726+1)</f>
        <v>2038</v>
      </c>
      <c r="D727" s="676">
        <f t="shared" si="70"/>
        <v>3439109.8644067831</v>
      </c>
      <c r="E727" s="732">
        <f t="shared" si="71"/>
        <v>92948.91525423729</v>
      </c>
      <c r="F727" s="732">
        <f t="shared" si="64"/>
        <v>3346160.949152546</v>
      </c>
      <c r="G727" s="676">
        <f t="shared" si="65"/>
        <v>3392635.4067796646</v>
      </c>
      <c r="H727" s="726">
        <f>+J699*G727+E727</f>
        <v>459035.91899810225</v>
      </c>
      <c r="I727" s="733">
        <f>+J700*G727+E727</f>
        <v>459035.91899810225</v>
      </c>
      <c r="J727" s="729">
        <f t="shared" si="66"/>
        <v>0</v>
      </c>
      <c r="K727" s="729"/>
      <c r="L727" s="734"/>
      <c r="M727" s="729">
        <f t="shared" si="67"/>
        <v>0</v>
      </c>
      <c r="N727" s="734"/>
      <c r="O727" s="729">
        <f t="shared" si="68"/>
        <v>0</v>
      </c>
      <c r="P727" s="729">
        <f t="shared" si="69"/>
        <v>0</v>
      </c>
      <c r="Q727" s="677"/>
    </row>
    <row r="728" spans="2:17">
      <c r="B728" s="334"/>
      <c r="C728" s="725">
        <f>IF(D698="","-",+C727+1)</f>
        <v>2039</v>
      </c>
      <c r="D728" s="676">
        <f t="shared" si="70"/>
        <v>3346160.949152546</v>
      </c>
      <c r="E728" s="732">
        <f t="shared" si="71"/>
        <v>92948.91525423729</v>
      </c>
      <c r="F728" s="732">
        <f t="shared" si="64"/>
        <v>3253212.0338983089</v>
      </c>
      <c r="G728" s="676">
        <f t="shared" si="65"/>
        <v>3299686.4915254274</v>
      </c>
      <c r="H728" s="726">
        <f>+J699*G728+E728</f>
        <v>449006.13807361282</v>
      </c>
      <c r="I728" s="733">
        <f>+J700*G728+E728</f>
        <v>449006.13807361282</v>
      </c>
      <c r="J728" s="729">
        <f t="shared" si="66"/>
        <v>0</v>
      </c>
      <c r="K728" s="729"/>
      <c r="L728" s="734"/>
      <c r="M728" s="729">
        <f t="shared" si="67"/>
        <v>0</v>
      </c>
      <c r="N728" s="734"/>
      <c r="O728" s="729">
        <f t="shared" si="68"/>
        <v>0</v>
      </c>
      <c r="P728" s="729">
        <f t="shared" si="69"/>
        <v>0</v>
      </c>
      <c r="Q728" s="677"/>
    </row>
    <row r="729" spans="2:17">
      <c r="B729" s="334"/>
      <c r="C729" s="725">
        <f>IF(D698="","-",+C728+1)</f>
        <v>2040</v>
      </c>
      <c r="D729" s="676">
        <f t="shared" si="70"/>
        <v>3253212.0338983089</v>
      </c>
      <c r="E729" s="732">
        <f t="shared" si="71"/>
        <v>92948.91525423729</v>
      </c>
      <c r="F729" s="732">
        <f t="shared" si="64"/>
        <v>3160263.1186440717</v>
      </c>
      <c r="G729" s="676">
        <f t="shared" si="65"/>
        <v>3206737.5762711903</v>
      </c>
      <c r="H729" s="726">
        <f>+J699*G729+E729</f>
        <v>438976.35714912339</v>
      </c>
      <c r="I729" s="733">
        <f>+J700*G729+E729</f>
        <v>438976.35714912339</v>
      </c>
      <c r="J729" s="729">
        <f t="shared" si="66"/>
        <v>0</v>
      </c>
      <c r="K729" s="729"/>
      <c r="L729" s="734"/>
      <c r="M729" s="729">
        <f t="shared" si="67"/>
        <v>0</v>
      </c>
      <c r="N729" s="734"/>
      <c r="O729" s="729">
        <f t="shared" si="68"/>
        <v>0</v>
      </c>
      <c r="P729" s="729">
        <f t="shared" si="69"/>
        <v>0</v>
      </c>
      <c r="Q729" s="677"/>
    </row>
    <row r="730" spans="2:17">
      <c r="B730" s="334"/>
      <c r="C730" s="725">
        <f>IF(D698="","-",+C729+1)</f>
        <v>2041</v>
      </c>
      <c r="D730" s="676">
        <f t="shared" si="70"/>
        <v>3160263.1186440717</v>
      </c>
      <c r="E730" s="732">
        <f t="shared" si="71"/>
        <v>92948.91525423729</v>
      </c>
      <c r="F730" s="732">
        <f t="shared" si="64"/>
        <v>3067314.2033898346</v>
      </c>
      <c r="G730" s="676">
        <f t="shared" si="65"/>
        <v>3113788.6610169532</v>
      </c>
      <c r="H730" s="726">
        <f>+J699*G730+E730</f>
        <v>428946.57622463396</v>
      </c>
      <c r="I730" s="733">
        <f>+J700*G730+E730</f>
        <v>428946.57622463396</v>
      </c>
      <c r="J730" s="729">
        <f t="shared" si="66"/>
        <v>0</v>
      </c>
      <c r="K730" s="729"/>
      <c r="L730" s="734"/>
      <c r="M730" s="729">
        <f t="shared" si="67"/>
        <v>0</v>
      </c>
      <c r="N730" s="734"/>
      <c r="O730" s="729">
        <f t="shared" si="68"/>
        <v>0</v>
      </c>
      <c r="P730" s="729">
        <f t="shared" si="69"/>
        <v>0</v>
      </c>
      <c r="Q730" s="677"/>
    </row>
    <row r="731" spans="2:17">
      <c r="B731" s="334"/>
      <c r="C731" s="725">
        <f>IF(D698="","-",+C730+1)</f>
        <v>2042</v>
      </c>
      <c r="D731" s="676">
        <f t="shared" si="70"/>
        <v>3067314.2033898346</v>
      </c>
      <c r="E731" s="732">
        <f t="shared" si="71"/>
        <v>92948.91525423729</v>
      </c>
      <c r="F731" s="732">
        <f t="shared" si="64"/>
        <v>2974365.2881355975</v>
      </c>
      <c r="G731" s="676">
        <f t="shared" si="65"/>
        <v>3020839.745762716</v>
      </c>
      <c r="H731" s="726">
        <f>+J699*G731+E731</f>
        <v>418916.79530014453</v>
      </c>
      <c r="I731" s="733">
        <f>+J700*G731+E731</f>
        <v>418916.79530014453</v>
      </c>
      <c r="J731" s="729">
        <f t="shared" si="66"/>
        <v>0</v>
      </c>
      <c r="K731" s="729"/>
      <c r="L731" s="734"/>
      <c r="M731" s="729">
        <f t="shared" si="67"/>
        <v>0</v>
      </c>
      <c r="N731" s="734"/>
      <c r="O731" s="729">
        <f t="shared" si="68"/>
        <v>0</v>
      </c>
      <c r="P731" s="729">
        <f t="shared" si="69"/>
        <v>0</v>
      </c>
      <c r="Q731" s="677"/>
    </row>
    <row r="732" spans="2:17">
      <c r="B732" s="334"/>
      <c r="C732" s="725">
        <f>IF(D698="","-",+C731+1)</f>
        <v>2043</v>
      </c>
      <c r="D732" s="676">
        <f t="shared" si="70"/>
        <v>2974365.2881355975</v>
      </c>
      <c r="E732" s="732">
        <f t="shared" si="71"/>
        <v>92948.91525423729</v>
      </c>
      <c r="F732" s="732">
        <f t="shared" si="64"/>
        <v>2881416.3728813604</v>
      </c>
      <c r="G732" s="676">
        <f t="shared" si="65"/>
        <v>2927890.8305084789</v>
      </c>
      <c r="H732" s="726">
        <f>+J699*G732+E732</f>
        <v>408887.01437565516</v>
      </c>
      <c r="I732" s="733">
        <f>+J700*G732+E732</f>
        <v>408887.01437565516</v>
      </c>
      <c r="J732" s="729">
        <f t="shared" si="66"/>
        <v>0</v>
      </c>
      <c r="K732" s="729"/>
      <c r="L732" s="734"/>
      <c r="M732" s="729">
        <f t="shared" si="67"/>
        <v>0</v>
      </c>
      <c r="N732" s="734"/>
      <c r="O732" s="729">
        <f t="shared" si="68"/>
        <v>0</v>
      </c>
      <c r="P732" s="729">
        <f t="shared" si="69"/>
        <v>0</v>
      </c>
      <c r="Q732" s="677"/>
    </row>
    <row r="733" spans="2:17">
      <c r="B733" s="334"/>
      <c r="C733" s="725">
        <f>IF(D698="","-",+C732+1)</f>
        <v>2044</v>
      </c>
      <c r="D733" s="676">
        <f t="shared" si="70"/>
        <v>2881416.3728813604</v>
      </c>
      <c r="E733" s="732">
        <f t="shared" si="71"/>
        <v>92948.91525423729</v>
      </c>
      <c r="F733" s="732">
        <f t="shared" si="64"/>
        <v>2788467.4576271232</v>
      </c>
      <c r="G733" s="676">
        <f t="shared" si="65"/>
        <v>2834941.9152542418</v>
      </c>
      <c r="H733" s="726">
        <f>+J699*G733+E733</f>
        <v>398857.23345116572</v>
      </c>
      <c r="I733" s="733">
        <f>+J700*G733+E733</f>
        <v>398857.23345116572</v>
      </c>
      <c r="J733" s="729">
        <f t="shared" si="66"/>
        <v>0</v>
      </c>
      <c r="K733" s="729"/>
      <c r="L733" s="734"/>
      <c r="M733" s="729">
        <f t="shared" si="67"/>
        <v>0</v>
      </c>
      <c r="N733" s="734"/>
      <c r="O733" s="729">
        <f t="shared" si="68"/>
        <v>0</v>
      </c>
      <c r="P733" s="729">
        <f t="shared" si="69"/>
        <v>0</v>
      </c>
      <c r="Q733" s="677"/>
    </row>
    <row r="734" spans="2:17">
      <c r="B734" s="334"/>
      <c r="C734" s="725">
        <f>IF(D698="","-",+C733+1)</f>
        <v>2045</v>
      </c>
      <c r="D734" s="676">
        <f t="shared" si="70"/>
        <v>2788467.4576271232</v>
      </c>
      <c r="E734" s="732">
        <f t="shared" si="71"/>
        <v>92948.91525423729</v>
      </c>
      <c r="F734" s="732">
        <f t="shared" si="64"/>
        <v>2695518.5423728861</v>
      </c>
      <c r="G734" s="676">
        <f t="shared" si="65"/>
        <v>2741993.0000000047</v>
      </c>
      <c r="H734" s="726">
        <f>+J699*G734+E734</f>
        <v>388827.45252667629</v>
      </c>
      <c r="I734" s="733">
        <f>+J700*G734+E734</f>
        <v>388827.45252667629</v>
      </c>
      <c r="J734" s="729">
        <f t="shared" si="66"/>
        <v>0</v>
      </c>
      <c r="K734" s="729"/>
      <c r="L734" s="734"/>
      <c r="M734" s="729">
        <f t="shared" si="67"/>
        <v>0</v>
      </c>
      <c r="N734" s="734"/>
      <c r="O734" s="729">
        <f t="shared" si="68"/>
        <v>0</v>
      </c>
      <c r="P734" s="729">
        <f t="shared" si="69"/>
        <v>0</v>
      </c>
      <c r="Q734" s="677"/>
    </row>
    <row r="735" spans="2:17">
      <c r="B735" s="334"/>
      <c r="C735" s="725">
        <f>IF(D698="","-",+C734+1)</f>
        <v>2046</v>
      </c>
      <c r="D735" s="676">
        <f t="shared" si="70"/>
        <v>2695518.5423728861</v>
      </c>
      <c r="E735" s="732">
        <f t="shared" si="71"/>
        <v>92948.91525423729</v>
      </c>
      <c r="F735" s="732">
        <f t="shared" si="64"/>
        <v>2602569.627118649</v>
      </c>
      <c r="G735" s="676">
        <f t="shared" si="65"/>
        <v>2649044.0847457675</v>
      </c>
      <c r="H735" s="726">
        <f>+J699*G735+E735</f>
        <v>378797.67160218686</v>
      </c>
      <c r="I735" s="733">
        <f>+J700*G735+E735</f>
        <v>378797.67160218686</v>
      </c>
      <c r="J735" s="729">
        <f t="shared" si="66"/>
        <v>0</v>
      </c>
      <c r="K735" s="729"/>
      <c r="L735" s="734"/>
      <c r="M735" s="729">
        <f t="shared" si="67"/>
        <v>0</v>
      </c>
      <c r="N735" s="734"/>
      <c r="O735" s="729">
        <f t="shared" si="68"/>
        <v>0</v>
      </c>
      <c r="P735" s="729">
        <f t="shared" si="69"/>
        <v>0</v>
      </c>
      <c r="Q735" s="677"/>
    </row>
    <row r="736" spans="2:17">
      <c r="B736" s="334"/>
      <c r="C736" s="725">
        <f>IF(D698="","-",+C735+1)</f>
        <v>2047</v>
      </c>
      <c r="D736" s="676">
        <f t="shared" si="70"/>
        <v>2602569.627118649</v>
      </c>
      <c r="E736" s="732">
        <f t="shared" si="71"/>
        <v>92948.91525423729</v>
      </c>
      <c r="F736" s="732">
        <f t="shared" si="64"/>
        <v>2509620.7118644118</v>
      </c>
      <c r="G736" s="676">
        <f t="shared" si="65"/>
        <v>2556095.1694915304</v>
      </c>
      <c r="H736" s="726">
        <f>+J699*G736+E736</f>
        <v>368767.89067769743</v>
      </c>
      <c r="I736" s="733">
        <f>+J700*G736+E736</f>
        <v>368767.89067769743</v>
      </c>
      <c r="J736" s="729">
        <f t="shared" si="66"/>
        <v>0</v>
      </c>
      <c r="K736" s="729"/>
      <c r="L736" s="734"/>
      <c r="M736" s="729">
        <f t="shared" si="67"/>
        <v>0</v>
      </c>
      <c r="N736" s="734"/>
      <c r="O736" s="729">
        <f t="shared" si="68"/>
        <v>0</v>
      </c>
      <c r="P736" s="729">
        <f t="shared" si="69"/>
        <v>0</v>
      </c>
      <c r="Q736" s="677"/>
    </row>
    <row r="737" spans="2:17">
      <c r="B737" s="334"/>
      <c r="C737" s="725">
        <f>IF(D698="","-",+C736+1)</f>
        <v>2048</v>
      </c>
      <c r="D737" s="676">
        <f t="shared" si="70"/>
        <v>2509620.7118644118</v>
      </c>
      <c r="E737" s="732">
        <f t="shared" si="71"/>
        <v>92948.91525423729</v>
      </c>
      <c r="F737" s="732">
        <f t="shared" si="64"/>
        <v>2416671.7966101747</v>
      </c>
      <c r="G737" s="676">
        <f t="shared" si="65"/>
        <v>2463146.2542372933</v>
      </c>
      <c r="H737" s="726">
        <f>+J699*G737+E737</f>
        <v>358738.109753208</v>
      </c>
      <c r="I737" s="733">
        <f>+J700*G737+E737</f>
        <v>358738.109753208</v>
      </c>
      <c r="J737" s="729">
        <f t="shared" si="66"/>
        <v>0</v>
      </c>
      <c r="K737" s="729"/>
      <c r="L737" s="734"/>
      <c r="M737" s="729">
        <f t="shared" si="67"/>
        <v>0</v>
      </c>
      <c r="N737" s="734"/>
      <c r="O737" s="729">
        <f t="shared" si="68"/>
        <v>0</v>
      </c>
      <c r="P737" s="729">
        <f t="shared" si="69"/>
        <v>0</v>
      </c>
      <c r="Q737" s="677"/>
    </row>
    <row r="738" spans="2:17">
      <c r="B738" s="334"/>
      <c r="C738" s="725">
        <f>IF(D698="","-",+C737+1)</f>
        <v>2049</v>
      </c>
      <c r="D738" s="676">
        <f t="shared" si="70"/>
        <v>2416671.7966101747</v>
      </c>
      <c r="E738" s="732">
        <f t="shared" si="71"/>
        <v>92948.91525423729</v>
      </c>
      <c r="F738" s="732">
        <f t="shared" si="64"/>
        <v>2323722.8813559376</v>
      </c>
      <c r="G738" s="676">
        <f t="shared" si="65"/>
        <v>2370197.3389830561</v>
      </c>
      <c r="H738" s="726">
        <f>+J699*G738+E738</f>
        <v>348708.32882871857</v>
      </c>
      <c r="I738" s="733">
        <f>+J700*G738+E738</f>
        <v>348708.32882871857</v>
      </c>
      <c r="J738" s="729">
        <f t="shared" si="66"/>
        <v>0</v>
      </c>
      <c r="K738" s="729"/>
      <c r="L738" s="734"/>
      <c r="M738" s="729">
        <f t="shared" si="67"/>
        <v>0</v>
      </c>
      <c r="N738" s="734"/>
      <c r="O738" s="729">
        <f t="shared" si="68"/>
        <v>0</v>
      </c>
      <c r="P738" s="729">
        <f t="shared" si="69"/>
        <v>0</v>
      </c>
      <c r="Q738" s="677"/>
    </row>
    <row r="739" spans="2:17">
      <c r="B739" s="334"/>
      <c r="C739" s="725">
        <f>IF(D698="","-",+C738+1)</f>
        <v>2050</v>
      </c>
      <c r="D739" s="676">
        <f t="shared" si="70"/>
        <v>2323722.8813559376</v>
      </c>
      <c r="E739" s="732">
        <f t="shared" si="71"/>
        <v>92948.91525423729</v>
      </c>
      <c r="F739" s="732">
        <f t="shared" si="64"/>
        <v>2230773.9661017004</v>
      </c>
      <c r="G739" s="676">
        <f t="shared" si="65"/>
        <v>2277248.423728819</v>
      </c>
      <c r="H739" s="726">
        <f>+J699*G739+E739</f>
        <v>338678.54790422914</v>
      </c>
      <c r="I739" s="733">
        <f>+J700*G739+E739</f>
        <v>338678.54790422914</v>
      </c>
      <c r="J739" s="729">
        <f t="shared" si="66"/>
        <v>0</v>
      </c>
      <c r="K739" s="729"/>
      <c r="L739" s="734"/>
      <c r="M739" s="729">
        <f t="shared" si="67"/>
        <v>0</v>
      </c>
      <c r="N739" s="734"/>
      <c r="O739" s="729">
        <f t="shared" si="68"/>
        <v>0</v>
      </c>
      <c r="P739" s="729">
        <f t="shared" si="69"/>
        <v>0</v>
      </c>
      <c r="Q739" s="677"/>
    </row>
    <row r="740" spans="2:17">
      <c r="B740" s="334"/>
      <c r="C740" s="725">
        <f>IF(D698="","-",+C739+1)</f>
        <v>2051</v>
      </c>
      <c r="D740" s="676">
        <f t="shared" si="70"/>
        <v>2230773.9661017004</v>
      </c>
      <c r="E740" s="732">
        <f t="shared" si="71"/>
        <v>92948.91525423729</v>
      </c>
      <c r="F740" s="732">
        <f t="shared" si="64"/>
        <v>2137825.0508474633</v>
      </c>
      <c r="G740" s="676">
        <f t="shared" si="65"/>
        <v>2184299.5084745819</v>
      </c>
      <c r="H740" s="726">
        <f>+J699*G740+E740</f>
        <v>328648.76697973971</v>
      </c>
      <c r="I740" s="733">
        <f>+J700*G740+E740</f>
        <v>328648.76697973971</v>
      </c>
      <c r="J740" s="729">
        <f t="shared" si="66"/>
        <v>0</v>
      </c>
      <c r="K740" s="729"/>
      <c r="L740" s="734"/>
      <c r="M740" s="729">
        <f t="shared" si="67"/>
        <v>0</v>
      </c>
      <c r="N740" s="734"/>
      <c r="O740" s="729">
        <f t="shared" si="68"/>
        <v>0</v>
      </c>
      <c r="P740" s="729">
        <f t="shared" si="69"/>
        <v>0</v>
      </c>
      <c r="Q740" s="677"/>
    </row>
    <row r="741" spans="2:17">
      <c r="B741" s="334"/>
      <c r="C741" s="725">
        <f>IF(D698="","-",+C740+1)</f>
        <v>2052</v>
      </c>
      <c r="D741" s="676">
        <f t="shared" si="70"/>
        <v>2137825.0508474633</v>
      </c>
      <c r="E741" s="732">
        <f t="shared" si="71"/>
        <v>92948.91525423729</v>
      </c>
      <c r="F741" s="732">
        <f t="shared" si="64"/>
        <v>2044876.1355932259</v>
      </c>
      <c r="G741" s="676">
        <f t="shared" si="65"/>
        <v>2091350.5932203447</v>
      </c>
      <c r="H741" s="726">
        <f>+J699*G741+E741</f>
        <v>318618.98605525034</v>
      </c>
      <c r="I741" s="733">
        <f>+J700*G741+E741</f>
        <v>318618.98605525034</v>
      </c>
      <c r="J741" s="729">
        <f t="shared" si="66"/>
        <v>0</v>
      </c>
      <c r="K741" s="729"/>
      <c r="L741" s="734"/>
      <c r="M741" s="729">
        <f t="shared" si="67"/>
        <v>0</v>
      </c>
      <c r="N741" s="734"/>
      <c r="O741" s="729">
        <f t="shared" si="68"/>
        <v>0</v>
      </c>
      <c r="P741" s="729">
        <f t="shared" si="69"/>
        <v>0</v>
      </c>
      <c r="Q741" s="677"/>
    </row>
    <row r="742" spans="2:17">
      <c r="B742" s="334"/>
      <c r="C742" s="725">
        <f>IF(D698="","-",+C741+1)</f>
        <v>2053</v>
      </c>
      <c r="D742" s="676">
        <f t="shared" si="70"/>
        <v>2044876.1355932259</v>
      </c>
      <c r="E742" s="732">
        <f t="shared" si="71"/>
        <v>92948.91525423729</v>
      </c>
      <c r="F742" s="732">
        <f t="shared" si="64"/>
        <v>1951927.2203389886</v>
      </c>
      <c r="G742" s="676">
        <f t="shared" si="65"/>
        <v>1998401.6779661071</v>
      </c>
      <c r="H742" s="726">
        <f>+J699*G742+E742</f>
        <v>308589.20513076085</v>
      </c>
      <c r="I742" s="733">
        <f>+J700*G742+E742</f>
        <v>308589.20513076085</v>
      </c>
      <c r="J742" s="729">
        <f t="shared" si="66"/>
        <v>0</v>
      </c>
      <c r="K742" s="729"/>
      <c r="L742" s="734"/>
      <c r="M742" s="729">
        <f t="shared" si="67"/>
        <v>0</v>
      </c>
      <c r="N742" s="734"/>
      <c r="O742" s="729">
        <f t="shared" si="68"/>
        <v>0</v>
      </c>
      <c r="P742" s="729">
        <f t="shared" si="69"/>
        <v>0</v>
      </c>
      <c r="Q742" s="677"/>
    </row>
    <row r="743" spans="2:17">
      <c r="B743" s="334"/>
      <c r="C743" s="725">
        <f>IF(D698="","-",+C742+1)</f>
        <v>2054</v>
      </c>
      <c r="D743" s="676">
        <f t="shared" si="70"/>
        <v>1951927.2203389886</v>
      </c>
      <c r="E743" s="732">
        <f t="shared" si="71"/>
        <v>92948.91525423729</v>
      </c>
      <c r="F743" s="732">
        <f t="shared" si="64"/>
        <v>1858978.3050847512</v>
      </c>
      <c r="G743" s="676">
        <f t="shared" si="65"/>
        <v>1905452.76271187</v>
      </c>
      <c r="H743" s="726">
        <f>+J699*G743+E743</f>
        <v>298559.42420627142</v>
      </c>
      <c r="I743" s="733">
        <f>+J700*G743+E743</f>
        <v>298559.42420627142</v>
      </c>
      <c r="J743" s="729">
        <f t="shared" si="66"/>
        <v>0</v>
      </c>
      <c r="K743" s="729"/>
      <c r="L743" s="734"/>
      <c r="M743" s="729">
        <f t="shared" si="67"/>
        <v>0</v>
      </c>
      <c r="N743" s="734"/>
      <c r="O743" s="729">
        <f t="shared" si="68"/>
        <v>0</v>
      </c>
      <c r="P743" s="729">
        <f t="shared" si="69"/>
        <v>0</v>
      </c>
      <c r="Q743" s="677"/>
    </row>
    <row r="744" spans="2:17">
      <c r="B744" s="334"/>
      <c r="C744" s="725">
        <f>IF(D698="","-",+C743+1)</f>
        <v>2055</v>
      </c>
      <c r="D744" s="676">
        <f t="shared" si="70"/>
        <v>1858978.3050847512</v>
      </c>
      <c r="E744" s="732">
        <f t="shared" si="71"/>
        <v>92948.91525423729</v>
      </c>
      <c r="F744" s="732">
        <f t="shared" si="64"/>
        <v>1766029.3898305139</v>
      </c>
      <c r="G744" s="676">
        <f t="shared" si="65"/>
        <v>1812503.8474576324</v>
      </c>
      <c r="H744" s="726">
        <f>+J699*G744+E744</f>
        <v>288529.64328178193</v>
      </c>
      <c r="I744" s="733">
        <f>+J700*G744+E744</f>
        <v>288529.64328178193</v>
      </c>
      <c r="J744" s="729">
        <f t="shared" si="66"/>
        <v>0</v>
      </c>
      <c r="K744" s="729"/>
      <c r="L744" s="734"/>
      <c r="M744" s="729">
        <f t="shared" si="67"/>
        <v>0</v>
      </c>
      <c r="N744" s="734"/>
      <c r="O744" s="729">
        <f t="shared" si="68"/>
        <v>0</v>
      </c>
      <c r="P744" s="729">
        <f t="shared" si="69"/>
        <v>0</v>
      </c>
      <c r="Q744" s="677"/>
    </row>
    <row r="745" spans="2:17">
      <c r="B745" s="334"/>
      <c r="C745" s="725">
        <f>IF(D698="","-",+C744+1)</f>
        <v>2056</v>
      </c>
      <c r="D745" s="676">
        <f t="shared" si="70"/>
        <v>1766029.3898305139</v>
      </c>
      <c r="E745" s="732">
        <f t="shared" si="71"/>
        <v>92948.91525423729</v>
      </c>
      <c r="F745" s="732">
        <f t="shared" si="64"/>
        <v>1673080.4745762765</v>
      </c>
      <c r="G745" s="676">
        <f t="shared" si="65"/>
        <v>1719554.9322033953</v>
      </c>
      <c r="H745" s="726">
        <f>+J699*G745+E745</f>
        <v>278499.8623572925</v>
      </c>
      <c r="I745" s="733">
        <f>+J700*G745+E745</f>
        <v>278499.8623572925</v>
      </c>
      <c r="J745" s="729">
        <f t="shared" si="66"/>
        <v>0</v>
      </c>
      <c r="K745" s="729"/>
      <c r="L745" s="734"/>
      <c r="M745" s="729">
        <f t="shared" si="67"/>
        <v>0</v>
      </c>
      <c r="N745" s="734"/>
      <c r="O745" s="729">
        <f t="shared" si="68"/>
        <v>0</v>
      </c>
      <c r="P745" s="729">
        <f t="shared" si="69"/>
        <v>0</v>
      </c>
      <c r="Q745" s="677"/>
    </row>
    <row r="746" spans="2:17">
      <c r="B746" s="334"/>
      <c r="C746" s="725">
        <f>IF(D698="","-",+C745+1)</f>
        <v>2057</v>
      </c>
      <c r="D746" s="676">
        <f t="shared" si="70"/>
        <v>1673080.4745762765</v>
      </c>
      <c r="E746" s="732">
        <f t="shared" si="71"/>
        <v>92948.91525423729</v>
      </c>
      <c r="F746" s="732">
        <f t="shared" si="64"/>
        <v>1580131.5593220391</v>
      </c>
      <c r="G746" s="676">
        <f t="shared" si="65"/>
        <v>1626606.0169491577</v>
      </c>
      <c r="H746" s="726">
        <f>+J699*G746+E746</f>
        <v>268470.08143280307</v>
      </c>
      <c r="I746" s="733">
        <f>+J700*G746+E746</f>
        <v>268470.08143280307</v>
      </c>
      <c r="J746" s="729">
        <f t="shared" si="66"/>
        <v>0</v>
      </c>
      <c r="K746" s="729"/>
      <c r="L746" s="734"/>
      <c r="M746" s="729">
        <f t="shared" si="67"/>
        <v>0</v>
      </c>
      <c r="N746" s="734"/>
      <c r="O746" s="729">
        <f t="shared" si="68"/>
        <v>0</v>
      </c>
      <c r="P746" s="729">
        <f t="shared" si="69"/>
        <v>0</v>
      </c>
      <c r="Q746" s="677"/>
    </row>
    <row r="747" spans="2:17">
      <c r="B747" s="334"/>
      <c r="C747" s="725">
        <f>IF(D698="","-",+C746+1)</f>
        <v>2058</v>
      </c>
      <c r="D747" s="676">
        <f t="shared" si="70"/>
        <v>1580131.5593220391</v>
      </c>
      <c r="E747" s="732">
        <f t="shared" si="71"/>
        <v>92948.91525423729</v>
      </c>
      <c r="F747" s="732">
        <f t="shared" si="64"/>
        <v>1487182.6440678018</v>
      </c>
      <c r="G747" s="676">
        <f t="shared" si="65"/>
        <v>1533657.1016949206</v>
      </c>
      <c r="H747" s="726">
        <f>+J699*G747+E747</f>
        <v>258440.30050831364</v>
      </c>
      <c r="I747" s="733">
        <f>+J700*G747+E747</f>
        <v>258440.30050831364</v>
      </c>
      <c r="J747" s="729">
        <f t="shared" si="66"/>
        <v>0</v>
      </c>
      <c r="K747" s="729"/>
      <c r="L747" s="734"/>
      <c r="M747" s="729">
        <f t="shared" si="67"/>
        <v>0</v>
      </c>
      <c r="N747" s="734"/>
      <c r="O747" s="729">
        <f t="shared" si="68"/>
        <v>0</v>
      </c>
      <c r="P747" s="729">
        <f t="shared" si="69"/>
        <v>0</v>
      </c>
      <c r="Q747" s="677"/>
    </row>
    <row r="748" spans="2:17">
      <c r="B748" s="334"/>
      <c r="C748" s="725">
        <f>IF(D698="","-",+C747+1)</f>
        <v>2059</v>
      </c>
      <c r="D748" s="676">
        <f t="shared" si="70"/>
        <v>1487182.6440678018</v>
      </c>
      <c r="E748" s="732">
        <f t="shared" si="71"/>
        <v>92948.91525423729</v>
      </c>
      <c r="F748" s="732">
        <f t="shared" si="64"/>
        <v>1394233.7288135644</v>
      </c>
      <c r="G748" s="676">
        <f t="shared" si="65"/>
        <v>1440708.186440683</v>
      </c>
      <c r="H748" s="726">
        <f>+J699*G748+E748</f>
        <v>248410.51958382415</v>
      </c>
      <c r="I748" s="733">
        <f>+J700*G748+E748</f>
        <v>248410.51958382415</v>
      </c>
      <c r="J748" s="729">
        <f t="shared" si="66"/>
        <v>0</v>
      </c>
      <c r="K748" s="729"/>
      <c r="L748" s="734"/>
      <c r="M748" s="729">
        <f t="shared" si="67"/>
        <v>0</v>
      </c>
      <c r="N748" s="734"/>
      <c r="O748" s="729">
        <f t="shared" si="68"/>
        <v>0</v>
      </c>
      <c r="P748" s="729">
        <f t="shared" si="69"/>
        <v>0</v>
      </c>
      <c r="Q748" s="677"/>
    </row>
    <row r="749" spans="2:17">
      <c r="B749" s="334"/>
      <c r="C749" s="725">
        <f>IF(D698="","-",+C748+1)</f>
        <v>2060</v>
      </c>
      <c r="D749" s="676">
        <f t="shared" si="70"/>
        <v>1394233.7288135644</v>
      </c>
      <c r="E749" s="732">
        <f t="shared" si="71"/>
        <v>92948.91525423729</v>
      </c>
      <c r="F749" s="732">
        <f t="shared" si="64"/>
        <v>1301284.813559327</v>
      </c>
      <c r="G749" s="676">
        <f t="shared" si="65"/>
        <v>1347759.2711864458</v>
      </c>
      <c r="H749" s="726">
        <f>+J699*G749+E749</f>
        <v>238380.73865933472</v>
      </c>
      <c r="I749" s="733">
        <f>+J700*G749+E749</f>
        <v>238380.73865933472</v>
      </c>
      <c r="J749" s="729">
        <f t="shared" si="66"/>
        <v>0</v>
      </c>
      <c r="K749" s="729"/>
      <c r="L749" s="734"/>
      <c r="M749" s="729">
        <f t="shared" si="67"/>
        <v>0</v>
      </c>
      <c r="N749" s="734"/>
      <c r="O749" s="729">
        <f t="shared" si="68"/>
        <v>0</v>
      </c>
      <c r="P749" s="729">
        <f t="shared" si="69"/>
        <v>0</v>
      </c>
      <c r="Q749" s="677"/>
    </row>
    <row r="750" spans="2:17">
      <c r="B750" s="334"/>
      <c r="C750" s="725">
        <f>IF(D698="","-",+C749+1)</f>
        <v>2061</v>
      </c>
      <c r="D750" s="676">
        <f t="shared" si="70"/>
        <v>1301284.813559327</v>
      </c>
      <c r="E750" s="732">
        <f t="shared" si="71"/>
        <v>92948.91525423729</v>
      </c>
      <c r="F750" s="732">
        <f t="shared" si="64"/>
        <v>1208335.8983050897</v>
      </c>
      <c r="G750" s="676">
        <f t="shared" si="65"/>
        <v>1254810.3559322082</v>
      </c>
      <c r="H750" s="726">
        <f>+J699*G750+E750</f>
        <v>228350.95773484523</v>
      </c>
      <c r="I750" s="733">
        <f>+J700*G750+E750</f>
        <v>228350.95773484523</v>
      </c>
      <c r="J750" s="729">
        <f t="shared" si="66"/>
        <v>0</v>
      </c>
      <c r="K750" s="729"/>
      <c r="L750" s="734"/>
      <c r="M750" s="729">
        <f t="shared" si="67"/>
        <v>0</v>
      </c>
      <c r="N750" s="734"/>
      <c r="O750" s="729">
        <f t="shared" si="68"/>
        <v>0</v>
      </c>
      <c r="P750" s="729">
        <f t="shared" si="69"/>
        <v>0</v>
      </c>
      <c r="Q750" s="677"/>
    </row>
    <row r="751" spans="2:17">
      <c r="B751" s="334"/>
      <c r="C751" s="725">
        <f>IF(D698="","-",+C750+1)</f>
        <v>2062</v>
      </c>
      <c r="D751" s="676">
        <f t="shared" si="70"/>
        <v>1208335.8983050897</v>
      </c>
      <c r="E751" s="732">
        <f t="shared" si="71"/>
        <v>92948.91525423729</v>
      </c>
      <c r="F751" s="732">
        <f t="shared" si="64"/>
        <v>1115386.9830508523</v>
      </c>
      <c r="G751" s="676">
        <f t="shared" si="65"/>
        <v>1161861.4406779711</v>
      </c>
      <c r="H751" s="726">
        <f>+J699*G751+E751</f>
        <v>218321.17681035583</v>
      </c>
      <c r="I751" s="733">
        <f>+J700*G751+E751</f>
        <v>218321.17681035583</v>
      </c>
      <c r="J751" s="729">
        <f t="shared" si="66"/>
        <v>0</v>
      </c>
      <c r="K751" s="729"/>
      <c r="L751" s="734"/>
      <c r="M751" s="729">
        <f t="shared" si="67"/>
        <v>0</v>
      </c>
      <c r="N751" s="734"/>
      <c r="O751" s="729">
        <f t="shared" si="68"/>
        <v>0</v>
      </c>
      <c r="P751" s="729">
        <f t="shared" si="69"/>
        <v>0</v>
      </c>
      <c r="Q751" s="677"/>
    </row>
    <row r="752" spans="2:17">
      <c r="B752" s="334"/>
      <c r="C752" s="725">
        <f>IF(D698="","-",+C751+1)</f>
        <v>2063</v>
      </c>
      <c r="D752" s="676">
        <f t="shared" si="70"/>
        <v>1115386.9830508523</v>
      </c>
      <c r="E752" s="732">
        <f t="shared" si="71"/>
        <v>92948.91525423729</v>
      </c>
      <c r="F752" s="732">
        <f t="shared" si="64"/>
        <v>1022438.0677966151</v>
      </c>
      <c r="G752" s="676">
        <f t="shared" si="65"/>
        <v>1068912.5254237338</v>
      </c>
      <c r="H752" s="726">
        <f>+J699*G752+E752</f>
        <v>208291.39588586637</v>
      </c>
      <c r="I752" s="733">
        <f>+J700*G752+E752</f>
        <v>208291.39588586637</v>
      </c>
      <c r="J752" s="729">
        <f t="shared" si="66"/>
        <v>0</v>
      </c>
      <c r="K752" s="729"/>
      <c r="L752" s="734"/>
      <c r="M752" s="729">
        <f t="shared" si="67"/>
        <v>0</v>
      </c>
      <c r="N752" s="734"/>
      <c r="O752" s="729">
        <f t="shared" si="68"/>
        <v>0</v>
      </c>
      <c r="P752" s="729">
        <f t="shared" si="69"/>
        <v>0</v>
      </c>
      <c r="Q752" s="677"/>
    </row>
    <row r="753" spans="2:17">
      <c r="B753" s="334"/>
      <c r="C753" s="725">
        <f>IF(D698="","-",+C752+1)</f>
        <v>2064</v>
      </c>
      <c r="D753" s="676">
        <f t="shared" si="70"/>
        <v>1022438.0677966151</v>
      </c>
      <c r="E753" s="732">
        <f t="shared" si="71"/>
        <v>92948.91525423729</v>
      </c>
      <c r="F753" s="732">
        <f t="shared" si="64"/>
        <v>929489.15254237782</v>
      </c>
      <c r="G753" s="676">
        <f t="shared" si="65"/>
        <v>975963.61016949639</v>
      </c>
      <c r="H753" s="726">
        <f>+J699*G753+E753</f>
        <v>198261.61496137694</v>
      </c>
      <c r="I753" s="733">
        <f>+J700*G753+E753</f>
        <v>198261.61496137694</v>
      </c>
      <c r="J753" s="729">
        <f t="shared" si="66"/>
        <v>0</v>
      </c>
      <c r="K753" s="729"/>
      <c r="L753" s="734"/>
      <c r="M753" s="729">
        <f t="shared" si="67"/>
        <v>0</v>
      </c>
      <c r="N753" s="734"/>
      <c r="O753" s="729">
        <f t="shared" si="68"/>
        <v>0</v>
      </c>
      <c r="P753" s="729">
        <f t="shared" si="69"/>
        <v>0</v>
      </c>
      <c r="Q753" s="677"/>
    </row>
    <row r="754" spans="2:17">
      <c r="B754" s="334"/>
      <c r="C754" s="725">
        <f>IF(D698="","-",+C753+1)</f>
        <v>2065</v>
      </c>
      <c r="D754" s="676">
        <f t="shared" si="70"/>
        <v>929489.15254237782</v>
      </c>
      <c r="E754" s="732">
        <f t="shared" si="71"/>
        <v>92948.91525423729</v>
      </c>
      <c r="F754" s="732">
        <f t="shared" si="64"/>
        <v>836540.23728814058</v>
      </c>
      <c r="G754" s="676">
        <f t="shared" si="65"/>
        <v>883014.69491525926</v>
      </c>
      <c r="H754" s="726">
        <f>+J699*G754+E754</f>
        <v>188231.83403688751</v>
      </c>
      <c r="I754" s="733">
        <f>+J700*G754+E754</f>
        <v>188231.83403688751</v>
      </c>
      <c r="J754" s="729">
        <f t="shared" si="66"/>
        <v>0</v>
      </c>
      <c r="K754" s="729"/>
      <c r="L754" s="734"/>
      <c r="M754" s="729">
        <f t="shared" si="67"/>
        <v>0</v>
      </c>
      <c r="N754" s="734"/>
      <c r="O754" s="729">
        <f t="shared" si="68"/>
        <v>0</v>
      </c>
      <c r="P754" s="729">
        <f t="shared" si="69"/>
        <v>0</v>
      </c>
      <c r="Q754" s="677"/>
    </row>
    <row r="755" spans="2:17">
      <c r="B755" s="334"/>
      <c r="C755" s="725">
        <f>IF(D698="","-",+C754+1)</f>
        <v>2066</v>
      </c>
      <c r="D755" s="676">
        <f t="shared" si="70"/>
        <v>836540.23728814058</v>
      </c>
      <c r="E755" s="732">
        <f t="shared" si="71"/>
        <v>92948.91525423729</v>
      </c>
      <c r="F755" s="732">
        <f t="shared" si="64"/>
        <v>743591.32203390333</v>
      </c>
      <c r="G755" s="676">
        <f t="shared" si="65"/>
        <v>790065.77966102189</v>
      </c>
      <c r="H755" s="726">
        <f>+J699*G755+E755</f>
        <v>178202.05311239808</v>
      </c>
      <c r="I755" s="733">
        <f>+J700*G755+E755</f>
        <v>178202.05311239808</v>
      </c>
      <c r="J755" s="729">
        <f t="shared" si="66"/>
        <v>0</v>
      </c>
      <c r="K755" s="729"/>
      <c r="L755" s="734"/>
      <c r="M755" s="729">
        <f t="shared" si="67"/>
        <v>0</v>
      </c>
      <c r="N755" s="734"/>
      <c r="O755" s="729">
        <f t="shared" si="68"/>
        <v>0</v>
      </c>
      <c r="P755" s="729">
        <f t="shared" si="69"/>
        <v>0</v>
      </c>
      <c r="Q755" s="677"/>
    </row>
    <row r="756" spans="2:17">
      <c r="B756" s="334"/>
      <c r="C756" s="725">
        <f>IF(D698="","-",+C755+1)</f>
        <v>2067</v>
      </c>
      <c r="D756" s="676">
        <f t="shared" si="70"/>
        <v>743591.32203390333</v>
      </c>
      <c r="E756" s="732">
        <f t="shared" si="71"/>
        <v>92948.91525423729</v>
      </c>
      <c r="F756" s="732">
        <f t="shared" si="64"/>
        <v>650642.40677966608</v>
      </c>
      <c r="G756" s="676">
        <f t="shared" si="65"/>
        <v>697116.86440678476</v>
      </c>
      <c r="H756" s="726">
        <f>+J699*G756+E756</f>
        <v>168172.27218790865</v>
      </c>
      <c r="I756" s="733">
        <f>+J700*G756+E756</f>
        <v>168172.27218790865</v>
      </c>
      <c r="J756" s="729">
        <f t="shared" si="66"/>
        <v>0</v>
      </c>
      <c r="K756" s="729"/>
      <c r="L756" s="734"/>
      <c r="M756" s="729">
        <f t="shared" si="67"/>
        <v>0</v>
      </c>
      <c r="N756" s="734"/>
      <c r="O756" s="729">
        <f t="shared" si="68"/>
        <v>0</v>
      </c>
      <c r="P756" s="729">
        <f t="shared" si="69"/>
        <v>0</v>
      </c>
      <c r="Q756" s="677"/>
    </row>
    <row r="757" spans="2:17">
      <c r="B757" s="334"/>
      <c r="C757" s="725">
        <f>IF(D698="","-",+C756+1)</f>
        <v>2068</v>
      </c>
      <c r="D757" s="676">
        <f t="shared" si="70"/>
        <v>650642.40677966608</v>
      </c>
      <c r="E757" s="732">
        <f t="shared" si="71"/>
        <v>92948.91525423729</v>
      </c>
      <c r="F757" s="732">
        <f t="shared" si="64"/>
        <v>557693.49152542884</v>
      </c>
      <c r="G757" s="676">
        <f t="shared" si="65"/>
        <v>604167.9491525474</v>
      </c>
      <c r="H757" s="726">
        <f>+J699*G757+E757</f>
        <v>158142.49126341919</v>
      </c>
      <c r="I757" s="733">
        <f>+J700*G757+E757</f>
        <v>158142.49126341919</v>
      </c>
      <c r="J757" s="729">
        <f t="shared" si="66"/>
        <v>0</v>
      </c>
      <c r="K757" s="729"/>
      <c r="L757" s="734"/>
      <c r="M757" s="729">
        <f t="shared" si="67"/>
        <v>0</v>
      </c>
      <c r="N757" s="734"/>
      <c r="O757" s="729">
        <f t="shared" si="68"/>
        <v>0</v>
      </c>
      <c r="P757" s="729">
        <f t="shared" si="69"/>
        <v>0</v>
      </c>
      <c r="Q757" s="677"/>
    </row>
    <row r="758" spans="2:17">
      <c r="B758" s="334"/>
      <c r="C758" s="725">
        <f>IF(D698="","-",+C757+1)</f>
        <v>2069</v>
      </c>
      <c r="D758" s="676">
        <f t="shared" si="70"/>
        <v>557693.49152542884</v>
      </c>
      <c r="E758" s="732">
        <f t="shared" si="71"/>
        <v>92948.91525423729</v>
      </c>
      <c r="F758" s="732">
        <f t="shared" si="64"/>
        <v>464744.57627119153</v>
      </c>
      <c r="G758" s="676">
        <f t="shared" si="65"/>
        <v>511219.03389831015</v>
      </c>
      <c r="H758" s="726">
        <f>+J699*G758+E758</f>
        <v>148112.71033892976</v>
      </c>
      <c r="I758" s="733">
        <f>+J700*G758+E758</f>
        <v>148112.71033892976</v>
      </c>
      <c r="J758" s="729">
        <f t="shared" si="66"/>
        <v>0</v>
      </c>
      <c r="K758" s="729"/>
      <c r="L758" s="734"/>
      <c r="M758" s="729">
        <f t="shared" si="67"/>
        <v>0</v>
      </c>
      <c r="N758" s="734"/>
      <c r="O758" s="729">
        <f t="shared" si="68"/>
        <v>0</v>
      </c>
      <c r="P758" s="729">
        <f t="shared" si="69"/>
        <v>0</v>
      </c>
      <c r="Q758" s="677"/>
    </row>
    <row r="759" spans="2:17">
      <c r="B759" s="334"/>
      <c r="C759" s="725">
        <f>IF(D698="","-",+C758+1)</f>
        <v>2070</v>
      </c>
      <c r="D759" s="676">
        <f t="shared" si="70"/>
        <v>464744.57627119153</v>
      </c>
      <c r="E759" s="732">
        <f t="shared" si="71"/>
        <v>92948.91525423729</v>
      </c>
      <c r="F759" s="732">
        <f t="shared" si="64"/>
        <v>371795.66101695423</v>
      </c>
      <c r="G759" s="676">
        <f t="shared" si="65"/>
        <v>418270.11864407291</v>
      </c>
      <c r="H759" s="726">
        <f>+J699*G759+E759</f>
        <v>138082.92941444032</v>
      </c>
      <c r="I759" s="733">
        <f>+J700*G759+E759</f>
        <v>138082.92941444032</v>
      </c>
      <c r="J759" s="729">
        <f t="shared" si="66"/>
        <v>0</v>
      </c>
      <c r="K759" s="729"/>
      <c r="L759" s="734"/>
      <c r="M759" s="729">
        <f t="shared" si="67"/>
        <v>0</v>
      </c>
      <c r="N759" s="734"/>
      <c r="O759" s="729">
        <f t="shared" si="68"/>
        <v>0</v>
      </c>
      <c r="P759" s="729">
        <f t="shared" si="69"/>
        <v>0</v>
      </c>
      <c r="Q759" s="677"/>
    </row>
    <row r="760" spans="2:17">
      <c r="B760" s="334"/>
      <c r="C760" s="725">
        <f>IF(D698="","-",+C759+1)</f>
        <v>2071</v>
      </c>
      <c r="D760" s="676">
        <f t="shared" si="70"/>
        <v>371795.66101695423</v>
      </c>
      <c r="E760" s="732">
        <f t="shared" si="71"/>
        <v>92948.91525423729</v>
      </c>
      <c r="F760" s="732">
        <f t="shared" si="64"/>
        <v>278846.74576271692</v>
      </c>
      <c r="G760" s="676">
        <f t="shared" si="65"/>
        <v>325321.20338983554</v>
      </c>
      <c r="H760" s="726">
        <f>+J699*G760+E760</f>
        <v>128053.14848995087</v>
      </c>
      <c r="I760" s="733">
        <f>+J700*G760+E760</f>
        <v>128053.14848995087</v>
      </c>
      <c r="J760" s="729">
        <f t="shared" si="66"/>
        <v>0</v>
      </c>
      <c r="K760" s="729"/>
      <c r="L760" s="734"/>
      <c r="M760" s="729">
        <f t="shared" si="67"/>
        <v>0</v>
      </c>
      <c r="N760" s="734"/>
      <c r="O760" s="729">
        <f t="shared" si="68"/>
        <v>0</v>
      </c>
      <c r="P760" s="729">
        <f t="shared" si="69"/>
        <v>0</v>
      </c>
      <c r="Q760" s="677"/>
    </row>
    <row r="761" spans="2:17">
      <c r="B761" s="334"/>
      <c r="C761" s="725">
        <f>IF(D698="","-",+C760+1)</f>
        <v>2072</v>
      </c>
      <c r="D761" s="676">
        <f t="shared" si="70"/>
        <v>278846.74576271692</v>
      </c>
      <c r="E761" s="732">
        <f t="shared" si="71"/>
        <v>92948.91525423729</v>
      </c>
      <c r="F761" s="732">
        <f t="shared" si="64"/>
        <v>185897.83050847962</v>
      </c>
      <c r="G761" s="676">
        <f t="shared" si="65"/>
        <v>232372.28813559827</v>
      </c>
      <c r="H761" s="726">
        <f>+J699*G761+E761</f>
        <v>118023.36756546143</v>
      </c>
      <c r="I761" s="733">
        <f>+J700*G761+E761</f>
        <v>118023.36756546143</v>
      </c>
      <c r="J761" s="729">
        <f t="shared" si="66"/>
        <v>0</v>
      </c>
      <c r="K761" s="729"/>
      <c r="L761" s="734"/>
      <c r="M761" s="729">
        <f t="shared" si="67"/>
        <v>0</v>
      </c>
      <c r="N761" s="734"/>
      <c r="O761" s="729">
        <f t="shared" si="68"/>
        <v>0</v>
      </c>
      <c r="P761" s="729">
        <f t="shared" si="69"/>
        <v>0</v>
      </c>
      <c r="Q761" s="677"/>
    </row>
    <row r="762" spans="2:17">
      <c r="B762" s="334"/>
      <c r="C762" s="725">
        <f>IF(D698="","-",+C761+1)</f>
        <v>2073</v>
      </c>
      <c r="D762" s="676">
        <f t="shared" si="70"/>
        <v>185897.83050847962</v>
      </c>
      <c r="E762" s="732">
        <f t="shared" si="71"/>
        <v>92948.91525423729</v>
      </c>
      <c r="F762" s="732">
        <f t="shared" si="64"/>
        <v>92948.915254242325</v>
      </c>
      <c r="G762" s="676">
        <f t="shared" si="65"/>
        <v>139423.37288136096</v>
      </c>
      <c r="H762" s="726">
        <f>+J699*G762+E762</f>
        <v>107993.58664097199</v>
      </c>
      <c r="I762" s="733">
        <f>+J700*G762+E762</f>
        <v>107993.58664097199</v>
      </c>
      <c r="J762" s="729">
        <f t="shared" si="66"/>
        <v>0</v>
      </c>
      <c r="K762" s="729"/>
      <c r="L762" s="734"/>
      <c r="M762" s="729">
        <f t="shared" si="67"/>
        <v>0</v>
      </c>
      <c r="N762" s="734"/>
      <c r="O762" s="729">
        <f t="shared" si="68"/>
        <v>0</v>
      </c>
      <c r="P762" s="729">
        <f t="shared" si="69"/>
        <v>0</v>
      </c>
      <c r="Q762" s="677"/>
    </row>
    <row r="763" spans="2:17" ht="13.5" thickBot="1">
      <c r="B763" s="334"/>
      <c r="C763" s="737">
        <f>IF(D698="","-",+C762+1)</f>
        <v>2074</v>
      </c>
      <c r="D763" s="738">
        <f t="shared" si="70"/>
        <v>92948.915254242325</v>
      </c>
      <c r="E763" s="739">
        <f t="shared" si="71"/>
        <v>92948.91525423729</v>
      </c>
      <c r="F763" s="739">
        <f t="shared" si="64"/>
        <v>5.0349626690149307E-9</v>
      </c>
      <c r="G763" s="738">
        <f t="shared" si="65"/>
        <v>46474.45762712368</v>
      </c>
      <c r="H763" s="740">
        <f>+J699*G763+E763</f>
        <v>97963.805716482559</v>
      </c>
      <c r="I763" s="740">
        <f>+J700*G763+E763</f>
        <v>97963.805716482559</v>
      </c>
      <c r="J763" s="741">
        <f t="shared" si="66"/>
        <v>0</v>
      </c>
      <c r="K763" s="729"/>
      <c r="L763" s="742"/>
      <c r="M763" s="741">
        <f t="shared" si="67"/>
        <v>0</v>
      </c>
      <c r="N763" s="742"/>
      <c r="O763" s="741">
        <f t="shared" si="68"/>
        <v>0</v>
      </c>
      <c r="P763" s="741">
        <f t="shared" si="69"/>
        <v>0</v>
      </c>
      <c r="Q763" s="677"/>
    </row>
    <row r="764" spans="2:17">
      <c r="B764" s="334"/>
      <c r="C764" s="676" t="s">
        <v>289</v>
      </c>
      <c r="D764" s="672"/>
      <c r="E764" s="672">
        <f>SUM(E704:E763)</f>
        <v>5483985.9999999953</v>
      </c>
      <c r="F764" s="672"/>
      <c r="G764" s="672"/>
      <c r="H764" s="672">
        <f>SUM(H704:H763)</f>
        <v>23532576.773618765</v>
      </c>
      <c r="I764" s="672">
        <f>SUM(I704:I763)</f>
        <v>23532576.773618765</v>
      </c>
      <c r="J764" s="672">
        <f>SUM(J704:J763)</f>
        <v>0</v>
      </c>
      <c r="K764" s="672"/>
      <c r="L764" s="672"/>
      <c r="M764" s="672"/>
      <c r="N764" s="672"/>
      <c r="O764" s="672"/>
      <c r="Q764" s="672"/>
    </row>
    <row r="765" spans="2:17">
      <c r="B765" s="334"/>
      <c r="D765" s="566"/>
      <c r="E765" s="543"/>
      <c r="F765" s="543"/>
      <c r="G765" s="543"/>
      <c r="H765" s="543"/>
      <c r="I765" s="649"/>
      <c r="J765" s="649"/>
      <c r="K765" s="672"/>
      <c r="L765" s="649"/>
      <c r="M765" s="649"/>
      <c r="N765" s="649"/>
      <c r="O765" s="649"/>
      <c r="Q765" s="672"/>
    </row>
    <row r="766" spans="2:17">
      <c r="B766" s="334"/>
      <c r="C766" s="543" t="s">
        <v>602</v>
      </c>
      <c r="D766" s="566"/>
      <c r="E766" s="543"/>
      <c r="F766" s="543"/>
      <c r="G766" s="543"/>
      <c r="H766" s="543"/>
      <c r="I766" s="649"/>
      <c r="J766" s="649"/>
      <c r="K766" s="672"/>
      <c r="L766" s="649"/>
      <c r="M766" s="649"/>
      <c r="N766" s="649"/>
      <c r="O766" s="649"/>
      <c r="Q766" s="672"/>
    </row>
    <row r="767" spans="2:17">
      <c r="B767" s="334"/>
      <c r="D767" s="566"/>
      <c r="E767" s="543"/>
      <c r="F767" s="543"/>
      <c r="G767" s="543"/>
      <c r="H767" s="543"/>
      <c r="I767" s="649"/>
      <c r="J767" s="649"/>
      <c r="K767" s="672"/>
      <c r="L767" s="649"/>
      <c r="M767" s="649"/>
      <c r="N767" s="649"/>
      <c r="O767" s="649"/>
      <c r="Q767" s="672"/>
    </row>
    <row r="768" spans="2:17">
      <c r="B768" s="334"/>
      <c r="C768" s="579" t="s">
        <v>603</v>
      </c>
      <c r="D768" s="676"/>
      <c r="E768" s="676"/>
      <c r="F768" s="676"/>
      <c r="G768" s="676"/>
      <c r="H768" s="672"/>
      <c r="I768" s="672"/>
      <c r="J768" s="677"/>
      <c r="K768" s="677"/>
      <c r="L768" s="677"/>
      <c r="M768" s="677"/>
      <c r="N768" s="677"/>
      <c r="O768" s="677"/>
      <c r="Q768" s="677"/>
    </row>
    <row r="769" spans="1:17">
      <c r="B769" s="334"/>
      <c r="C769" s="579" t="s">
        <v>477</v>
      </c>
      <c r="D769" s="676"/>
      <c r="E769" s="676"/>
      <c r="F769" s="676"/>
      <c r="G769" s="676"/>
      <c r="H769" s="672"/>
      <c r="I769" s="672"/>
      <c r="J769" s="677"/>
      <c r="K769" s="677"/>
      <c r="L769" s="677"/>
      <c r="M769" s="677"/>
      <c r="N769" s="677"/>
      <c r="O769" s="677"/>
      <c r="Q769" s="677"/>
    </row>
    <row r="770" spans="1:17">
      <c r="B770" s="334"/>
      <c r="C770" s="579" t="s">
        <v>290</v>
      </c>
      <c r="D770" s="676"/>
      <c r="E770" s="676"/>
      <c r="F770" s="676"/>
      <c r="G770" s="676"/>
      <c r="H770" s="672"/>
      <c r="I770" s="672"/>
      <c r="J770" s="677"/>
      <c r="K770" s="677"/>
      <c r="L770" s="677"/>
      <c r="M770" s="677"/>
      <c r="N770" s="677"/>
      <c r="O770" s="677"/>
      <c r="Q770" s="677"/>
    </row>
    <row r="771" spans="1:17" ht="20.25">
      <c r="A771" s="678" t="s">
        <v>780</v>
      </c>
      <c r="B771" s="543"/>
      <c r="C771" s="658"/>
      <c r="D771" s="566"/>
      <c r="E771" s="543"/>
      <c r="F771" s="648"/>
      <c r="G771" s="648"/>
      <c r="H771" s="543"/>
      <c r="I771" s="649"/>
      <c r="L771" s="679"/>
      <c r="M771" s="679"/>
      <c r="N771" s="679"/>
      <c r="O771" s="594" t="str">
        <f>"Page "&amp;SUM(Q$3:Q771)&amp;" of "</f>
        <v xml:space="preserve">Page 10 of </v>
      </c>
      <c r="P771" s="595">
        <f>COUNT(Q$8:Q$58123)</f>
        <v>15</v>
      </c>
      <c r="Q771" s="763">
        <v>1</v>
      </c>
    </row>
    <row r="772" spans="1:17">
      <c r="B772" s="543"/>
      <c r="C772" s="543"/>
      <c r="D772" s="566"/>
      <c r="E772" s="543"/>
      <c r="F772" s="543"/>
      <c r="G772" s="543"/>
      <c r="H772" s="543"/>
      <c r="I772" s="649"/>
      <c r="J772" s="543"/>
      <c r="K772" s="591"/>
      <c r="Q772" s="591"/>
    </row>
    <row r="773" spans="1:17" ht="18">
      <c r="B773" s="598" t="s">
        <v>175</v>
      </c>
      <c r="C773" s="680" t="s">
        <v>291</v>
      </c>
      <c r="D773" s="566"/>
      <c r="E773" s="543"/>
      <c r="F773" s="543"/>
      <c r="G773" s="543"/>
      <c r="H773" s="543"/>
      <c r="I773" s="649"/>
      <c r="J773" s="649"/>
      <c r="K773" s="672"/>
      <c r="L773" s="649"/>
      <c r="M773" s="649"/>
      <c r="N773" s="649"/>
      <c r="O773" s="649"/>
      <c r="Q773" s="672"/>
    </row>
    <row r="774" spans="1:17" ht="18.75">
      <c r="B774" s="598"/>
      <c r="C774" s="597"/>
      <c r="D774" s="566"/>
      <c r="E774" s="543"/>
      <c r="F774" s="543"/>
      <c r="G774" s="543"/>
      <c r="H774" s="543"/>
      <c r="I774" s="649"/>
      <c r="J774" s="649"/>
      <c r="K774" s="672"/>
      <c r="L774" s="649"/>
      <c r="M774" s="649"/>
      <c r="N774" s="649"/>
      <c r="O774" s="649"/>
      <c r="Q774" s="672"/>
    </row>
    <row r="775" spans="1:17" ht="18.75">
      <c r="B775" s="598"/>
      <c r="C775" s="597" t="s">
        <v>292</v>
      </c>
      <c r="D775" s="566"/>
      <c r="E775" s="543"/>
      <c r="F775" s="543"/>
      <c r="G775" s="543"/>
      <c r="H775" s="543"/>
      <c r="I775" s="649"/>
      <c r="J775" s="649"/>
      <c r="K775" s="672"/>
      <c r="L775" s="649"/>
      <c r="M775" s="649"/>
      <c r="N775" s="649"/>
      <c r="O775" s="649"/>
      <c r="Q775" s="672"/>
    </row>
    <row r="776" spans="1:17" ht="15.75" thickBot="1">
      <c r="B776" s="334"/>
      <c r="C776" s="400"/>
      <c r="D776" s="566"/>
      <c r="E776" s="543"/>
      <c r="F776" s="543"/>
      <c r="G776" s="543"/>
      <c r="H776" s="543"/>
      <c r="I776" s="649"/>
      <c r="J776" s="649"/>
      <c r="K776" s="672"/>
      <c r="L776" s="649"/>
      <c r="M776" s="649"/>
      <c r="N776" s="649"/>
      <c r="O776" s="649"/>
      <c r="Q776" s="672"/>
    </row>
    <row r="777" spans="1:17" ht="15.75">
      <c r="B777" s="334"/>
      <c r="C777" s="599" t="s">
        <v>293</v>
      </c>
      <c r="D777" s="566"/>
      <c r="E777" s="543"/>
      <c r="F777" s="543"/>
      <c r="G777" s="543"/>
      <c r="H777" s="874"/>
      <c r="I777" s="543" t="s">
        <v>272</v>
      </c>
      <c r="J777" s="543"/>
      <c r="K777" s="591"/>
      <c r="L777" s="764">
        <f>+J783</f>
        <v>2018</v>
      </c>
      <c r="M777" s="746" t="s">
        <v>255</v>
      </c>
      <c r="N777" s="746" t="s">
        <v>256</v>
      </c>
      <c r="O777" s="747" t="s">
        <v>257</v>
      </c>
      <c r="Q777" s="591"/>
    </row>
    <row r="778" spans="1:17" ht="15.75">
      <c r="B778" s="334"/>
      <c r="C778" s="599"/>
      <c r="D778" s="566"/>
      <c r="E778" s="543"/>
      <c r="F778" s="543"/>
      <c r="H778" s="543"/>
      <c r="I778" s="684"/>
      <c r="J778" s="684"/>
      <c r="K778" s="685"/>
      <c r="L778" s="765" t="s">
        <v>456</v>
      </c>
      <c r="M778" s="766">
        <f>VLOOKUP(J783,C790:P849,10)</f>
        <v>54331</v>
      </c>
      <c r="N778" s="766">
        <f>VLOOKUP(J783,C790:P849,12)</f>
        <v>54331</v>
      </c>
      <c r="O778" s="767">
        <f>+N778-M778</f>
        <v>0</v>
      </c>
      <c r="Q778" s="685"/>
    </row>
    <row r="779" spans="1:17">
      <c r="B779" s="334"/>
      <c r="C779" s="687" t="s">
        <v>294</v>
      </c>
      <c r="D779" s="1434" t="s">
        <v>1003</v>
      </c>
      <c r="E779" s="1434"/>
      <c r="F779" s="1434"/>
      <c r="G779" s="1434"/>
      <c r="H779" s="1434"/>
      <c r="I779" s="649"/>
      <c r="J779" s="649"/>
      <c r="K779" s="672"/>
      <c r="L779" s="765" t="s">
        <v>457</v>
      </c>
      <c r="M779" s="768">
        <f>VLOOKUP(J783,C790:P849,6)</f>
        <v>87057.888480754962</v>
      </c>
      <c r="N779" s="768">
        <f>VLOOKUP(J783,C790:P849,7)</f>
        <v>87057.888480754962</v>
      </c>
      <c r="O779" s="769">
        <f>+N779-M779</f>
        <v>0</v>
      </c>
      <c r="Q779" s="672"/>
    </row>
    <row r="780" spans="1:17" ht="13.5" thickBot="1">
      <c r="B780" s="334"/>
      <c r="C780" s="689"/>
      <c r="D780" s="690"/>
      <c r="E780" s="674"/>
      <c r="F780" s="674"/>
      <c r="G780" s="674"/>
      <c r="H780" s="691"/>
      <c r="I780" s="649"/>
      <c r="J780" s="649"/>
      <c r="K780" s="672"/>
      <c r="L780" s="710" t="s">
        <v>458</v>
      </c>
      <c r="M780" s="770">
        <f>+M779-M778</f>
        <v>32726.888480754962</v>
      </c>
      <c r="N780" s="770">
        <f>+N779-N778</f>
        <v>32726.888480754962</v>
      </c>
      <c r="O780" s="771">
        <f>+O779-O778</f>
        <v>0</v>
      </c>
      <c r="Q780" s="672"/>
    </row>
    <row r="781" spans="1:17" ht="13.5" thickBot="1">
      <c r="B781" s="334"/>
      <c r="C781" s="692"/>
      <c r="D781" s="693"/>
      <c r="E781" s="691"/>
      <c r="F781" s="691"/>
      <c r="G781" s="691"/>
      <c r="H781" s="691"/>
      <c r="I781" s="691"/>
      <c r="J781" s="691"/>
      <c r="K781" s="694"/>
      <c r="L781" s="691"/>
      <c r="M781" s="691"/>
      <c r="N781" s="691"/>
      <c r="O781" s="691"/>
      <c r="P781" s="579"/>
      <c r="Q781" s="694"/>
    </row>
    <row r="782" spans="1:17" ht="13.5" thickBot="1">
      <c r="B782" s="334"/>
      <c r="C782" s="696" t="s">
        <v>295</v>
      </c>
      <c r="D782" s="697"/>
      <c r="E782" s="697"/>
      <c r="F782" s="697"/>
      <c r="G782" s="697"/>
      <c r="H782" s="697"/>
      <c r="I782" s="697"/>
      <c r="J782" s="697"/>
      <c r="K782" s="699"/>
      <c r="P782" s="700"/>
      <c r="Q782" s="699"/>
    </row>
    <row r="783" spans="1:17" ht="15">
      <c r="A783" s="695"/>
      <c r="B783" s="334"/>
      <c r="C783" s="702" t="s">
        <v>273</v>
      </c>
      <c r="D783" s="1268">
        <v>737797</v>
      </c>
      <c r="E783" s="658" t="s">
        <v>274</v>
      </c>
      <c r="H783" s="703"/>
      <c r="I783" s="703"/>
      <c r="J783" s="704">
        <v>2018</v>
      </c>
      <c r="K783" s="589"/>
      <c r="L783" s="1445" t="s">
        <v>275</v>
      </c>
      <c r="M783" s="1445"/>
      <c r="N783" s="1445"/>
      <c r="O783" s="1445"/>
      <c r="P783" s="591"/>
      <c r="Q783" s="589"/>
    </row>
    <row r="784" spans="1:17">
      <c r="A784" s="695"/>
      <c r="B784" s="334"/>
      <c r="C784" s="702" t="s">
        <v>276</v>
      </c>
      <c r="D784" s="876">
        <v>2014</v>
      </c>
      <c r="E784" s="702" t="s">
        <v>277</v>
      </c>
      <c r="F784" s="703"/>
      <c r="G784" s="703"/>
      <c r="I784" s="334"/>
      <c r="J784" s="879">
        <v>0</v>
      </c>
      <c r="K784" s="705"/>
      <c r="L784" s="672" t="s">
        <v>476</v>
      </c>
      <c r="P784" s="591"/>
      <c r="Q784" s="705"/>
    </row>
    <row r="785" spans="1:17">
      <c r="A785" s="695"/>
      <c r="B785" s="334"/>
      <c r="C785" s="702" t="s">
        <v>278</v>
      </c>
      <c r="D785" s="1269">
        <v>9</v>
      </c>
      <c r="E785" s="702" t="s">
        <v>279</v>
      </c>
      <c r="F785" s="703"/>
      <c r="G785" s="703"/>
      <c r="I785" s="334"/>
      <c r="J785" s="706">
        <f>$F$70</f>
        <v>0.10790637951024619</v>
      </c>
      <c r="K785" s="707"/>
      <c r="L785" s="543" t="str">
        <f>"          INPUT TRUE-UP ARR (WITH &amp; WITHOUT INCENTIVES) FROM EACH PRIOR YEAR"</f>
        <v xml:space="preserve">          INPUT TRUE-UP ARR (WITH &amp; WITHOUT INCENTIVES) FROM EACH PRIOR YEAR</v>
      </c>
      <c r="P785" s="591"/>
      <c r="Q785" s="707"/>
    </row>
    <row r="786" spans="1:17">
      <c r="A786" s="695"/>
      <c r="B786" s="334"/>
      <c r="C786" s="702" t="s">
        <v>280</v>
      </c>
      <c r="D786" s="708">
        <f>H79</f>
        <v>59</v>
      </c>
      <c r="E786" s="702" t="s">
        <v>281</v>
      </c>
      <c r="F786" s="703"/>
      <c r="G786" s="703"/>
      <c r="I786" s="334"/>
      <c r="J786" s="706">
        <f>IF(H777="",J785,$F$69)</f>
        <v>0.10790637951024619</v>
      </c>
      <c r="K786" s="709"/>
      <c r="L786" s="543" t="s">
        <v>363</v>
      </c>
      <c r="M786" s="709"/>
      <c r="N786" s="709"/>
      <c r="O786" s="709"/>
      <c r="P786" s="591"/>
      <c r="Q786" s="709"/>
    </row>
    <row r="787" spans="1:17" ht="13.5" thickBot="1">
      <c r="A787" s="695"/>
      <c r="B787" s="334"/>
      <c r="C787" s="702" t="s">
        <v>282</v>
      </c>
      <c r="D787" s="878" t="s">
        <v>995</v>
      </c>
      <c r="E787" s="710" t="s">
        <v>283</v>
      </c>
      <c r="F787" s="711"/>
      <c r="G787" s="711"/>
      <c r="H787" s="712"/>
      <c r="I787" s="712"/>
      <c r="J787" s="688">
        <f>IF(D783=0,0,D783/D786)</f>
        <v>12505.033898305084</v>
      </c>
      <c r="K787" s="672"/>
      <c r="L787" s="672" t="s">
        <v>364</v>
      </c>
      <c r="M787" s="672"/>
      <c r="N787" s="672"/>
      <c r="O787" s="672"/>
      <c r="P787" s="591"/>
      <c r="Q787" s="672"/>
    </row>
    <row r="788" spans="1:17" ht="38.25">
      <c r="A788" s="530"/>
      <c r="B788" s="530"/>
      <c r="C788" s="713" t="s">
        <v>273</v>
      </c>
      <c r="D788" s="714" t="s">
        <v>284</v>
      </c>
      <c r="E788" s="715" t="s">
        <v>285</v>
      </c>
      <c r="F788" s="714" t="s">
        <v>286</v>
      </c>
      <c r="G788" s="714" t="s">
        <v>459</v>
      </c>
      <c r="H788" s="715" t="s">
        <v>357</v>
      </c>
      <c r="I788" s="716" t="s">
        <v>357</v>
      </c>
      <c r="J788" s="713" t="s">
        <v>296</v>
      </c>
      <c r="K788" s="717"/>
      <c r="L788" s="715" t="s">
        <v>359</v>
      </c>
      <c r="M788" s="715" t="s">
        <v>365</v>
      </c>
      <c r="N788" s="715" t="s">
        <v>359</v>
      </c>
      <c r="O788" s="715" t="s">
        <v>367</v>
      </c>
      <c r="P788" s="715" t="s">
        <v>287</v>
      </c>
      <c r="Q788" s="718"/>
    </row>
    <row r="789" spans="1:17" ht="13.5" thickBot="1">
      <c r="B789" s="334"/>
      <c r="C789" s="719" t="s">
        <v>178</v>
      </c>
      <c r="D789" s="720" t="s">
        <v>179</v>
      </c>
      <c r="E789" s="719" t="s">
        <v>37</v>
      </c>
      <c r="F789" s="720" t="s">
        <v>179</v>
      </c>
      <c r="G789" s="720" t="s">
        <v>179</v>
      </c>
      <c r="H789" s="721" t="s">
        <v>299</v>
      </c>
      <c r="I789" s="722" t="s">
        <v>301</v>
      </c>
      <c r="J789" s="723" t="s">
        <v>390</v>
      </c>
      <c r="K789" s="724"/>
      <c r="L789" s="721" t="s">
        <v>288</v>
      </c>
      <c r="M789" s="721" t="s">
        <v>288</v>
      </c>
      <c r="N789" s="721" t="s">
        <v>468</v>
      </c>
      <c r="O789" s="721" t="s">
        <v>468</v>
      </c>
      <c r="P789" s="721" t="s">
        <v>468</v>
      </c>
      <c r="Q789" s="589"/>
    </row>
    <row r="790" spans="1:17">
      <c r="B790" s="334"/>
      <c r="C790" s="725">
        <f>IF(D784= "","-",D784)</f>
        <v>2014</v>
      </c>
      <c r="D790" s="676">
        <f>+D783</f>
        <v>737797</v>
      </c>
      <c r="E790" s="726">
        <f>+J787/12*(12-D785)</f>
        <v>3126.2584745762711</v>
      </c>
      <c r="F790" s="772">
        <f t="shared" ref="F790:F849" si="72">+D790-E790</f>
        <v>734670.74152542371</v>
      </c>
      <c r="G790" s="676">
        <f t="shared" ref="G790:G849" si="73">+(D790+F790)/2</f>
        <v>736233.87076271186</v>
      </c>
      <c r="H790" s="727">
        <f>+J785*G790+E790</f>
        <v>82570.58994139501</v>
      </c>
      <c r="I790" s="728">
        <f>+J786*G790+E790</f>
        <v>82570.58994139501</v>
      </c>
      <c r="J790" s="729">
        <f t="shared" ref="J790:J849" si="74">+I790-H790</f>
        <v>0</v>
      </c>
      <c r="K790" s="729"/>
      <c r="L790" s="730">
        <v>9.9999999999999995E-7</v>
      </c>
      <c r="M790" s="773">
        <f t="shared" ref="M790:M849" si="75">IF(L790&lt;&gt;0,+H790-L790,0)</f>
        <v>82570.589940395017</v>
      </c>
      <c r="N790" s="730">
        <v>9.9999999999999995E-7</v>
      </c>
      <c r="O790" s="773">
        <f t="shared" ref="O790:O849" si="76">IF(N790&lt;&gt;0,+I790-N790,0)</f>
        <v>82570.589940395017</v>
      </c>
      <c r="P790" s="773">
        <f t="shared" ref="P790:P849" si="77">+O790-M790</f>
        <v>0</v>
      </c>
      <c r="Q790" s="677"/>
    </row>
    <row r="791" spans="1:17">
      <c r="B791" s="334"/>
      <c r="C791" s="725">
        <f>IF(D784="","-",+C790+1)</f>
        <v>2015</v>
      </c>
      <c r="D791" s="676">
        <f t="shared" ref="D791:D849" si="78">F790</f>
        <v>734670.74152542371</v>
      </c>
      <c r="E791" s="732">
        <f>IF(D791&gt;$J$787,$J$787,D791)</f>
        <v>12505.033898305084</v>
      </c>
      <c r="F791" s="732">
        <f t="shared" si="72"/>
        <v>722165.70762711868</v>
      </c>
      <c r="G791" s="676">
        <f t="shared" si="73"/>
        <v>728418.22457627114</v>
      </c>
      <c r="H791" s="726">
        <f>+J785*G791+E791</f>
        <v>91106.007281611935</v>
      </c>
      <c r="I791" s="733">
        <f>+J786*G791+E791</f>
        <v>91106.007281611935</v>
      </c>
      <c r="J791" s="729">
        <f t="shared" si="74"/>
        <v>0</v>
      </c>
      <c r="K791" s="729"/>
      <c r="L791" s="734">
        <v>9.9999999999999995E-7</v>
      </c>
      <c r="M791" s="729">
        <f t="shared" si="75"/>
        <v>91106.007280611942</v>
      </c>
      <c r="N791" s="734">
        <v>9.9999999999999995E-7</v>
      </c>
      <c r="O791" s="729">
        <f t="shared" si="76"/>
        <v>91106.007280611942</v>
      </c>
      <c r="P791" s="729">
        <f t="shared" si="77"/>
        <v>0</v>
      </c>
      <c r="Q791" s="677"/>
    </row>
    <row r="792" spans="1:17">
      <c r="B792" s="334"/>
      <c r="C792" s="725">
        <f>IF(D784="","-",+C791+1)</f>
        <v>2016</v>
      </c>
      <c r="D792" s="1282">
        <f t="shared" si="78"/>
        <v>722165.70762711868</v>
      </c>
      <c r="E792" s="732">
        <f t="shared" ref="E792:E849" si="79">IF(D792&gt;$J$787,$J$787,D792)</f>
        <v>12505.033898305084</v>
      </c>
      <c r="F792" s="732">
        <f t="shared" si="72"/>
        <v>709660.67372881365</v>
      </c>
      <c r="G792" s="676">
        <f t="shared" si="73"/>
        <v>715913.19067796622</v>
      </c>
      <c r="H792" s="726">
        <f>+J785*G792+E792</f>
        <v>89756.634347992964</v>
      </c>
      <c r="I792" s="733">
        <f>+J786*G792+E792</f>
        <v>89756.634347992964</v>
      </c>
      <c r="J792" s="729">
        <f t="shared" si="74"/>
        <v>0</v>
      </c>
      <c r="K792" s="729"/>
      <c r="L792" s="734">
        <v>1117</v>
      </c>
      <c r="M792" s="729">
        <f t="shared" si="75"/>
        <v>88639.634347992964</v>
      </c>
      <c r="N792" s="734">
        <v>1117</v>
      </c>
      <c r="O792" s="729">
        <f t="shared" si="76"/>
        <v>88639.634347992964</v>
      </c>
      <c r="P792" s="729">
        <f t="shared" si="77"/>
        <v>0</v>
      </c>
      <c r="Q792" s="677"/>
    </row>
    <row r="793" spans="1:17">
      <c r="B793" s="334"/>
      <c r="C793" s="725">
        <f>IF(D784="","-",+C792+1)</f>
        <v>2017</v>
      </c>
      <c r="D793" s="1282">
        <f t="shared" si="78"/>
        <v>709660.67372881365</v>
      </c>
      <c r="E793" s="732">
        <f t="shared" si="79"/>
        <v>12505.033898305084</v>
      </c>
      <c r="F793" s="732">
        <f t="shared" si="72"/>
        <v>697155.63983050862</v>
      </c>
      <c r="G793" s="676">
        <f t="shared" si="73"/>
        <v>703408.15677966108</v>
      </c>
      <c r="H793" s="726">
        <f>+J785*G793+E793</f>
        <v>88407.261414373948</v>
      </c>
      <c r="I793" s="733">
        <f>+J786*G793+E793</f>
        <v>88407.261414373948</v>
      </c>
      <c r="J793" s="729">
        <f t="shared" si="74"/>
        <v>0</v>
      </c>
      <c r="K793" s="729"/>
      <c r="L793" s="734">
        <v>57580</v>
      </c>
      <c r="M793" s="729">
        <f t="shared" si="75"/>
        <v>30827.261414373948</v>
      </c>
      <c r="N793" s="734">
        <v>57580</v>
      </c>
      <c r="O793" s="729">
        <f t="shared" si="76"/>
        <v>30827.261414373948</v>
      </c>
      <c r="P793" s="729">
        <f t="shared" si="77"/>
        <v>0</v>
      </c>
      <c r="Q793" s="677"/>
    </row>
    <row r="794" spans="1:17">
      <c r="B794" s="334"/>
      <c r="C794" s="725">
        <f>IF(D784="","-",+C793+1)</f>
        <v>2018</v>
      </c>
      <c r="D794" s="1311">
        <f t="shared" si="78"/>
        <v>697155.63983050862</v>
      </c>
      <c r="E794" s="732">
        <f t="shared" si="79"/>
        <v>12505.033898305084</v>
      </c>
      <c r="F794" s="732">
        <f t="shared" si="72"/>
        <v>684650.60593220359</v>
      </c>
      <c r="G794" s="676">
        <f t="shared" si="73"/>
        <v>690903.12288135616</v>
      </c>
      <c r="H794" s="726">
        <f>+J785*G794+E794</f>
        <v>87057.888480754962</v>
      </c>
      <c r="I794" s="733">
        <f>+J786*G794+E794</f>
        <v>87057.888480754962</v>
      </c>
      <c r="J794" s="729">
        <f t="shared" si="74"/>
        <v>0</v>
      </c>
      <c r="K794" s="729"/>
      <c r="L794" s="734">
        <v>54331</v>
      </c>
      <c r="M794" s="729">
        <f t="shared" si="75"/>
        <v>32726.888480754962</v>
      </c>
      <c r="N794" s="734">
        <v>54331</v>
      </c>
      <c r="O794" s="729">
        <f t="shared" si="76"/>
        <v>32726.888480754962</v>
      </c>
      <c r="P794" s="729">
        <f t="shared" si="77"/>
        <v>0</v>
      </c>
      <c r="Q794" s="677"/>
    </row>
    <row r="795" spans="1:17">
      <c r="B795" s="334"/>
      <c r="C795" s="725">
        <f>IF(D784="","-",+C794+1)</f>
        <v>2019</v>
      </c>
      <c r="D795" s="676">
        <f t="shared" si="78"/>
        <v>684650.60593220359</v>
      </c>
      <c r="E795" s="732">
        <f t="shared" si="79"/>
        <v>12505.033898305084</v>
      </c>
      <c r="F795" s="732">
        <f t="shared" si="72"/>
        <v>672145.57203389856</v>
      </c>
      <c r="G795" s="676">
        <f t="shared" si="73"/>
        <v>678398.08898305101</v>
      </c>
      <c r="H795" s="726">
        <f>+J785*G795+E795</f>
        <v>85708.515547135961</v>
      </c>
      <c r="I795" s="733">
        <f>+J786*G795+E795</f>
        <v>85708.515547135961</v>
      </c>
      <c r="J795" s="729">
        <f t="shared" si="74"/>
        <v>0</v>
      </c>
      <c r="K795" s="729"/>
      <c r="L795" s="734">
        <v>0</v>
      </c>
      <c r="M795" s="729">
        <f t="shared" si="75"/>
        <v>0</v>
      </c>
      <c r="N795" s="734">
        <v>0</v>
      </c>
      <c r="O795" s="729">
        <f t="shared" si="76"/>
        <v>0</v>
      </c>
      <c r="P795" s="729">
        <f t="shared" si="77"/>
        <v>0</v>
      </c>
      <c r="Q795" s="677"/>
    </row>
    <row r="796" spans="1:17">
      <c r="B796" s="334"/>
      <c r="C796" s="725">
        <f>IF(D784="","-",+C795+1)</f>
        <v>2020</v>
      </c>
      <c r="D796" s="676">
        <f t="shared" si="78"/>
        <v>672145.57203389856</v>
      </c>
      <c r="E796" s="732">
        <f t="shared" si="79"/>
        <v>12505.033898305084</v>
      </c>
      <c r="F796" s="732">
        <f t="shared" si="72"/>
        <v>659640.53813559352</v>
      </c>
      <c r="G796" s="676">
        <f t="shared" si="73"/>
        <v>665893.0550847461</v>
      </c>
      <c r="H796" s="726">
        <f>+J785*G796+E796</f>
        <v>84359.142613516975</v>
      </c>
      <c r="I796" s="733">
        <f>+J786*G796+E796</f>
        <v>84359.142613516975</v>
      </c>
      <c r="J796" s="729">
        <f t="shared" si="74"/>
        <v>0</v>
      </c>
      <c r="K796" s="729"/>
      <c r="L796" s="734">
        <v>0</v>
      </c>
      <c r="M796" s="729">
        <f t="shared" si="75"/>
        <v>0</v>
      </c>
      <c r="N796" s="734">
        <v>0</v>
      </c>
      <c r="O796" s="729">
        <f t="shared" si="76"/>
        <v>0</v>
      </c>
      <c r="P796" s="729">
        <f t="shared" si="77"/>
        <v>0</v>
      </c>
      <c r="Q796" s="677"/>
    </row>
    <row r="797" spans="1:17">
      <c r="B797" s="334"/>
      <c r="C797" s="725">
        <f>IF(D784="","-",+C796+1)</f>
        <v>2021</v>
      </c>
      <c r="D797" s="676">
        <f t="shared" si="78"/>
        <v>659640.53813559352</v>
      </c>
      <c r="E797" s="732">
        <f t="shared" si="79"/>
        <v>12505.033898305084</v>
      </c>
      <c r="F797" s="732">
        <f t="shared" si="72"/>
        <v>647135.50423728849</v>
      </c>
      <c r="G797" s="676">
        <f t="shared" si="73"/>
        <v>653388.02118644095</v>
      </c>
      <c r="H797" s="726">
        <f>+J785*G797+E797</f>
        <v>83009.76967989796</v>
      </c>
      <c r="I797" s="733">
        <f>+J786*G797+E797</f>
        <v>83009.76967989796</v>
      </c>
      <c r="J797" s="729">
        <f t="shared" si="74"/>
        <v>0</v>
      </c>
      <c r="K797" s="729"/>
      <c r="L797" s="734">
        <v>0</v>
      </c>
      <c r="M797" s="729">
        <f t="shared" si="75"/>
        <v>0</v>
      </c>
      <c r="N797" s="734">
        <v>0</v>
      </c>
      <c r="O797" s="729">
        <f t="shared" si="76"/>
        <v>0</v>
      </c>
      <c r="P797" s="729">
        <f t="shared" si="77"/>
        <v>0</v>
      </c>
      <c r="Q797" s="677"/>
    </row>
    <row r="798" spans="1:17">
      <c r="B798" s="334"/>
      <c r="C798" s="725">
        <f>IF(D784="","-",+C797+1)</f>
        <v>2022</v>
      </c>
      <c r="D798" s="676">
        <f t="shared" si="78"/>
        <v>647135.50423728849</v>
      </c>
      <c r="E798" s="732">
        <f t="shared" si="79"/>
        <v>12505.033898305084</v>
      </c>
      <c r="F798" s="732">
        <f t="shared" si="72"/>
        <v>634630.47033898346</v>
      </c>
      <c r="G798" s="676">
        <f t="shared" si="73"/>
        <v>640882.98728813604</v>
      </c>
      <c r="H798" s="726">
        <f>+J785*G798+E798</f>
        <v>81660.396746278988</v>
      </c>
      <c r="I798" s="733">
        <f>+J786*G798+E798</f>
        <v>81660.396746278988</v>
      </c>
      <c r="J798" s="729">
        <f t="shared" si="74"/>
        <v>0</v>
      </c>
      <c r="K798" s="729"/>
      <c r="L798" s="734">
        <v>0</v>
      </c>
      <c r="M798" s="729">
        <f t="shared" si="75"/>
        <v>0</v>
      </c>
      <c r="N798" s="734">
        <v>0</v>
      </c>
      <c r="O798" s="729">
        <f t="shared" si="76"/>
        <v>0</v>
      </c>
      <c r="P798" s="729">
        <f t="shared" si="77"/>
        <v>0</v>
      </c>
      <c r="Q798" s="677"/>
    </row>
    <row r="799" spans="1:17">
      <c r="B799" s="334"/>
      <c r="C799" s="725">
        <f>IF(D784="","-",+C798+1)</f>
        <v>2023</v>
      </c>
      <c r="D799" s="676">
        <f t="shared" si="78"/>
        <v>634630.47033898346</v>
      </c>
      <c r="E799" s="732">
        <f t="shared" si="79"/>
        <v>12505.033898305084</v>
      </c>
      <c r="F799" s="732">
        <f t="shared" si="72"/>
        <v>622125.43644067843</v>
      </c>
      <c r="G799" s="676">
        <f t="shared" si="73"/>
        <v>628377.95338983089</v>
      </c>
      <c r="H799" s="726">
        <f>+J785*G799+E799</f>
        <v>80311.023812659972</v>
      </c>
      <c r="I799" s="733">
        <f>+J786*G799+E799</f>
        <v>80311.023812659972</v>
      </c>
      <c r="J799" s="729">
        <f t="shared" si="74"/>
        <v>0</v>
      </c>
      <c r="K799" s="729"/>
      <c r="L799" s="734">
        <v>0</v>
      </c>
      <c r="M799" s="729">
        <f t="shared" si="75"/>
        <v>0</v>
      </c>
      <c r="N799" s="734">
        <v>0</v>
      </c>
      <c r="O799" s="729">
        <f t="shared" si="76"/>
        <v>0</v>
      </c>
      <c r="P799" s="729">
        <f t="shared" si="77"/>
        <v>0</v>
      </c>
      <c r="Q799" s="677"/>
    </row>
    <row r="800" spans="1:17">
      <c r="B800" s="334"/>
      <c r="C800" s="725">
        <f>IF(D784="","-",+C799+1)</f>
        <v>2024</v>
      </c>
      <c r="D800" s="676">
        <f t="shared" si="78"/>
        <v>622125.43644067843</v>
      </c>
      <c r="E800" s="732">
        <f t="shared" si="79"/>
        <v>12505.033898305084</v>
      </c>
      <c r="F800" s="732">
        <f t="shared" si="72"/>
        <v>609620.4025423734</v>
      </c>
      <c r="G800" s="676">
        <f t="shared" si="73"/>
        <v>615872.91949152597</v>
      </c>
      <c r="H800" s="726">
        <f>+J785*G800+E800</f>
        <v>78961.650879040986</v>
      </c>
      <c r="I800" s="733">
        <f>+J786*G800+E800</f>
        <v>78961.650879040986</v>
      </c>
      <c r="J800" s="729">
        <f t="shared" si="74"/>
        <v>0</v>
      </c>
      <c r="K800" s="729"/>
      <c r="L800" s="734">
        <v>0</v>
      </c>
      <c r="M800" s="729">
        <f t="shared" si="75"/>
        <v>0</v>
      </c>
      <c r="N800" s="734">
        <v>0</v>
      </c>
      <c r="O800" s="729">
        <f t="shared" si="76"/>
        <v>0</v>
      </c>
      <c r="P800" s="729">
        <f t="shared" si="77"/>
        <v>0</v>
      </c>
      <c r="Q800" s="677"/>
    </row>
    <row r="801" spans="2:17">
      <c r="B801" s="334"/>
      <c r="C801" s="725">
        <f>IF(D784="","-",+C800+1)</f>
        <v>2025</v>
      </c>
      <c r="D801" s="676">
        <f t="shared" si="78"/>
        <v>609620.4025423734</v>
      </c>
      <c r="E801" s="732">
        <f t="shared" si="79"/>
        <v>12505.033898305084</v>
      </c>
      <c r="F801" s="732">
        <f t="shared" si="72"/>
        <v>597115.36864406837</v>
      </c>
      <c r="G801" s="676">
        <f t="shared" si="73"/>
        <v>603367.88559322082</v>
      </c>
      <c r="H801" s="726">
        <f>+J785*G801+E801</f>
        <v>77612.277945421971</v>
      </c>
      <c r="I801" s="733">
        <f>+J786*G801+E801</f>
        <v>77612.277945421971</v>
      </c>
      <c r="J801" s="729">
        <f t="shared" si="74"/>
        <v>0</v>
      </c>
      <c r="K801" s="729"/>
      <c r="L801" s="734"/>
      <c r="M801" s="729">
        <f t="shared" si="75"/>
        <v>0</v>
      </c>
      <c r="N801" s="734"/>
      <c r="O801" s="729">
        <f t="shared" si="76"/>
        <v>0</v>
      </c>
      <c r="P801" s="729">
        <f t="shared" si="77"/>
        <v>0</v>
      </c>
      <c r="Q801" s="677"/>
    </row>
    <row r="802" spans="2:17">
      <c r="B802" s="334"/>
      <c r="C802" s="725">
        <f>IF(D784="","-",+C801+1)</f>
        <v>2026</v>
      </c>
      <c r="D802" s="676">
        <f t="shared" si="78"/>
        <v>597115.36864406837</v>
      </c>
      <c r="E802" s="732">
        <f t="shared" si="79"/>
        <v>12505.033898305084</v>
      </c>
      <c r="F802" s="732">
        <f t="shared" si="72"/>
        <v>584610.33474576334</v>
      </c>
      <c r="G802" s="676">
        <f t="shared" si="73"/>
        <v>590862.85169491591</v>
      </c>
      <c r="H802" s="726">
        <f>+J785*G802+E802</f>
        <v>76262.905011802999</v>
      </c>
      <c r="I802" s="733">
        <f>+J786*G802+E802</f>
        <v>76262.905011802999</v>
      </c>
      <c r="J802" s="729">
        <f t="shared" si="74"/>
        <v>0</v>
      </c>
      <c r="K802" s="729"/>
      <c r="L802" s="734"/>
      <c r="M802" s="729">
        <f t="shared" si="75"/>
        <v>0</v>
      </c>
      <c r="N802" s="734"/>
      <c r="O802" s="729">
        <f t="shared" si="76"/>
        <v>0</v>
      </c>
      <c r="P802" s="729">
        <f t="shared" si="77"/>
        <v>0</v>
      </c>
      <c r="Q802" s="677"/>
    </row>
    <row r="803" spans="2:17">
      <c r="B803" s="334"/>
      <c r="C803" s="725">
        <f>IF(D784="","-",+C802+1)</f>
        <v>2027</v>
      </c>
      <c r="D803" s="676">
        <f t="shared" si="78"/>
        <v>584610.33474576334</v>
      </c>
      <c r="E803" s="732">
        <f t="shared" si="79"/>
        <v>12505.033898305084</v>
      </c>
      <c r="F803" s="732">
        <f t="shared" si="72"/>
        <v>572105.3008474583</v>
      </c>
      <c r="G803" s="676">
        <f t="shared" si="73"/>
        <v>578357.81779661076</v>
      </c>
      <c r="H803" s="726">
        <f>+J785*G803+E803</f>
        <v>74913.532078183984</v>
      </c>
      <c r="I803" s="733">
        <f>+J786*G803+E803</f>
        <v>74913.532078183984</v>
      </c>
      <c r="J803" s="729">
        <f t="shared" si="74"/>
        <v>0</v>
      </c>
      <c r="K803" s="729"/>
      <c r="L803" s="734"/>
      <c r="M803" s="729">
        <f t="shared" si="75"/>
        <v>0</v>
      </c>
      <c r="N803" s="734"/>
      <c r="O803" s="729">
        <f t="shared" si="76"/>
        <v>0</v>
      </c>
      <c r="P803" s="729">
        <f t="shared" si="77"/>
        <v>0</v>
      </c>
      <c r="Q803" s="677"/>
    </row>
    <row r="804" spans="2:17">
      <c r="B804" s="334"/>
      <c r="C804" s="725">
        <f>IF(D784="","-",+C803+1)</f>
        <v>2028</v>
      </c>
      <c r="D804" s="676">
        <f t="shared" si="78"/>
        <v>572105.3008474583</v>
      </c>
      <c r="E804" s="732">
        <f t="shared" si="79"/>
        <v>12505.033898305084</v>
      </c>
      <c r="F804" s="732">
        <f t="shared" si="72"/>
        <v>559600.26694915327</v>
      </c>
      <c r="G804" s="676">
        <f t="shared" si="73"/>
        <v>565852.78389830585</v>
      </c>
      <c r="H804" s="726">
        <f>+J785*G804+E804</f>
        <v>73564.159144564997</v>
      </c>
      <c r="I804" s="733">
        <f>+J786*G804+E804</f>
        <v>73564.159144564997</v>
      </c>
      <c r="J804" s="729">
        <f t="shared" si="74"/>
        <v>0</v>
      </c>
      <c r="K804" s="729"/>
      <c r="L804" s="734"/>
      <c r="M804" s="729">
        <f t="shared" si="75"/>
        <v>0</v>
      </c>
      <c r="N804" s="734"/>
      <c r="O804" s="729">
        <f t="shared" si="76"/>
        <v>0</v>
      </c>
      <c r="P804" s="729">
        <f t="shared" si="77"/>
        <v>0</v>
      </c>
      <c r="Q804" s="677"/>
    </row>
    <row r="805" spans="2:17">
      <c r="B805" s="334"/>
      <c r="C805" s="725">
        <f>IF(D784="","-",+C804+1)</f>
        <v>2029</v>
      </c>
      <c r="D805" s="676">
        <f t="shared" si="78"/>
        <v>559600.26694915327</v>
      </c>
      <c r="E805" s="732">
        <f t="shared" si="79"/>
        <v>12505.033898305084</v>
      </c>
      <c r="F805" s="732">
        <f t="shared" si="72"/>
        <v>547095.23305084824</v>
      </c>
      <c r="G805" s="676">
        <f t="shared" si="73"/>
        <v>553347.7500000007</v>
      </c>
      <c r="H805" s="726">
        <f>+J785*G805+E805</f>
        <v>72214.786210945997</v>
      </c>
      <c r="I805" s="733">
        <f>+J786*G805+E805</f>
        <v>72214.786210945997</v>
      </c>
      <c r="J805" s="729">
        <f t="shared" si="74"/>
        <v>0</v>
      </c>
      <c r="K805" s="729"/>
      <c r="L805" s="734"/>
      <c r="M805" s="729">
        <f t="shared" si="75"/>
        <v>0</v>
      </c>
      <c r="N805" s="734"/>
      <c r="O805" s="729">
        <f t="shared" si="76"/>
        <v>0</v>
      </c>
      <c r="P805" s="729">
        <f t="shared" si="77"/>
        <v>0</v>
      </c>
      <c r="Q805" s="677"/>
    </row>
    <row r="806" spans="2:17">
      <c r="B806" s="334"/>
      <c r="C806" s="725">
        <f>IF(D784="","-",+C805+1)</f>
        <v>2030</v>
      </c>
      <c r="D806" s="676">
        <f t="shared" si="78"/>
        <v>547095.23305084824</v>
      </c>
      <c r="E806" s="732">
        <f t="shared" si="79"/>
        <v>12505.033898305084</v>
      </c>
      <c r="F806" s="732">
        <f t="shared" si="72"/>
        <v>534590.19915254321</v>
      </c>
      <c r="G806" s="676">
        <f t="shared" si="73"/>
        <v>540842.71610169578</v>
      </c>
      <c r="H806" s="726">
        <f>+J785*G806+E806</f>
        <v>70865.41327732701</v>
      </c>
      <c r="I806" s="733">
        <f>+J786*G806+E806</f>
        <v>70865.41327732701</v>
      </c>
      <c r="J806" s="729">
        <f t="shared" si="74"/>
        <v>0</v>
      </c>
      <c r="K806" s="729"/>
      <c r="L806" s="734"/>
      <c r="M806" s="729">
        <f t="shared" si="75"/>
        <v>0</v>
      </c>
      <c r="N806" s="734"/>
      <c r="O806" s="729">
        <f t="shared" si="76"/>
        <v>0</v>
      </c>
      <c r="P806" s="729">
        <f t="shared" si="77"/>
        <v>0</v>
      </c>
      <c r="Q806" s="677"/>
    </row>
    <row r="807" spans="2:17">
      <c r="B807" s="334"/>
      <c r="C807" s="725">
        <f>IF(D784="","-",+C806+1)</f>
        <v>2031</v>
      </c>
      <c r="D807" s="676">
        <f t="shared" si="78"/>
        <v>534590.19915254321</v>
      </c>
      <c r="E807" s="732">
        <f t="shared" si="79"/>
        <v>12505.033898305084</v>
      </c>
      <c r="F807" s="732">
        <f t="shared" si="72"/>
        <v>522085.16525423812</v>
      </c>
      <c r="G807" s="676">
        <f t="shared" si="73"/>
        <v>528337.68220339064</v>
      </c>
      <c r="H807" s="726">
        <f>+J785*G807+E807</f>
        <v>69516.040343707995</v>
      </c>
      <c r="I807" s="733">
        <f>+J786*G807+E807</f>
        <v>69516.040343707995</v>
      </c>
      <c r="J807" s="729">
        <f t="shared" si="74"/>
        <v>0</v>
      </c>
      <c r="K807" s="729"/>
      <c r="L807" s="734"/>
      <c r="M807" s="729">
        <f t="shared" si="75"/>
        <v>0</v>
      </c>
      <c r="N807" s="734"/>
      <c r="O807" s="729">
        <f t="shared" si="76"/>
        <v>0</v>
      </c>
      <c r="P807" s="729">
        <f t="shared" si="77"/>
        <v>0</v>
      </c>
      <c r="Q807" s="677"/>
    </row>
    <row r="808" spans="2:17">
      <c r="B808" s="334"/>
      <c r="C808" s="725">
        <f>IF(D784="","-",+C807+1)</f>
        <v>2032</v>
      </c>
      <c r="D808" s="676">
        <f t="shared" si="78"/>
        <v>522085.16525423812</v>
      </c>
      <c r="E808" s="732">
        <f t="shared" si="79"/>
        <v>12505.033898305084</v>
      </c>
      <c r="F808" s="732">
        <f t="shared" si="72"/>
        <v>509580.13135593303</v>
      </c>
      <c r="G808" s="676">
        <f t="shared" si="73"/>
        <v>515832.6483050856</v>
      </c>
      <c r="H808" s="726">
        <f>+J785*G808+E808</f>
        <v>68166.667410089009</v>
      </c>
      <c r="I808" s="733">
        <f>+J786*G808+E808</f>
        <v>68166.667410089009</v>
      </c>
      <c r="J808" s="729">
        <f t="shared" si="74"/>
        <v>0</v>
      </c>
      <c r="K808" s="729"/>
      <c r="L808" s="734"/>
      <c r="M808" s="729">
        <f t="shared" si="75"/>
        <v>0</v>
      </c>
      <c r="N808" s="734"/>
      <c r="O808" s="729">
        <f t="shared" si="76"/>
        <v>0</v>
      </c>
      <c r="P808" s="729">
        <f t="shared" si="77"/>
        <v>0</v>
      </c>
      <c r="Q808" s="677"/>
    </row>
    <row r="809" spans="2:17">
      <c r="B809" s="334"/>
      <c r="C809" s="725">
        <f>IF(D784="","-",+C808+1)</f>
        <v>2033</v>
      </c>
      <c r="D809" s="676">
        <f t="shared" si="78"/>
        <v>509580.13135593303</v>
      </c>
      <c r="E809" s="732">
        <f t="shared" si="79"/>
        <v>12505.033898305084</v>
      </c>
      <c r="F809" s="732">
        <f t="shared" si="72"/>
        <v>497075.09745762794</v>
      </c>
      <c r="G809" s="676">
        <f t="shared" si="73"/>
        <v>503327.61440678046</v>
      </c>
      <c r="H809" s="726">
        <f>+J785*G809+E809</f>
        <v>66817.294476469993</v>
      </c>
      <c r="I809" s="733">
        <f>+J786*G809+E809</f>
        <v>66817.294476469993</v>
      </c>
      <c r="J809" s="729">
        <f t="shared" si="74"/>
        <v>0</v>
      </c>
      <c r="K809" s="729"/>
      <c r="L809" s="734"/>
      <c r="M809" s="729">
        <f t="shared" si="75"/>
        <v>0</v>
      </c>
      <c r="N809" s="734"/>
      <c r="O809" s="729">
        <f t="shared" si="76"/>
        <v>0</v>
      </c>
      <c r="P809" s="729">
        <f t="shared" si="77"/>
        <v>0</v>
      </c>
      <c r="Q809" s="677"/>
    </row>
    <row r="810" spans="2:17">
      <c r="B810" s="334"/>
      <c r="C810" s="725">
        <f>IF(D784="","-",+C809+1)</f>
        <v>2034</v>
      </c>
      <c r="D810" s="676">
        <f t="shared" si="78"/>
        <v>497075.09745762794</v>
      </c>
      <c r="E810" s="732">
        <f t="shared" si="79"/>
        <v>12505.033898305084</v>
      </c>
      <c r="F810" s="732">
        <f t="shared" si="72"/>
        <v>484570.06355932285</v>
      </c>
      <c r="G810" s="676">
        <f t="shared" si="73"/>
        <v>490822.58050847542</v>
      </c>
      <c r="H810" s="726">
        <f>+J785*G810+E810</f>
        <v>65467.921542850992</v>
      </c>
      <c r="I810" s="733">
        <f>+J786*G810+E810</f>
        <v>65467.921542850992</v>
      </c>
      <c r="J810" s="729">
        <f t="shared" si="74"/>
        <v>0</v>
      </c>
      <c r="K810" s="729"/>
      <c r="L810" s="734"/>
      <c r="M810" s="729">
        <f t="shared" si="75"/>
        <v>0</v>
      </c>
      <c r="N810" s="734"/>
      <c r="O810" s="729">
        <f t="shared" si="76"/>
        <v>0</v>
      </c>
      <c r="P810" s="729">
        <f t="shared" si="77"/>
        <v>0</v>
      </c>
      <c r="Q810" s="677"/>
    </row>
    <row r="811" spans="2:17">
      <c r="B811" s="334"/>
      <c r="C811" s="725">
        <f>IF(D784="","-",+C810+1)</f>
        <v>2035</v>
      </c>
      <c r="D811" s="676">
        <f t="shared" si="78"/>
        <v>484570.06355932285</v>
      </c>
      <c r="E811" s="732">
        <f t="shared" si="79"/>
        <v>12505.033898305084</v>
      </c>
      <c r="F811" s="732">
        <f t="shared" si="72"/>
        <v>472065.02966101776</v>
      </c>
      <c r="G811" s="676">
        <f t="shared" si="73"/>
        <v>478317.54661017028</v>
      </c>
      <c r="H811" s="726">
        <f>+J785*G811+E811</f>
        <v>64118.548609231984</v>
      </c>
      <c r="I811" s="733">
        <f>+J786*G811+E811</f>
        <v>64118.548609231984</v>
      </c>
      <c r="J811" s="729">
        <f t="shared" si="74"/>
        <v>0</v>
      </c>
      <c r="K811" s="729"/>
      <c r="L811" s="734"/>
      <c r="M811" s="729">
        <f t="shared" si="75"/>
        <v>0</v>
      </c>
      <c r="N811" s="734"/>
      <c r="O811" s="729">
        <f t="shared" si="76"/>
        <v>0</v>
      </c>
      <c r="P811" s="729">
        <f t="shared" si="77"/>
        <v>0</v>
      </c>
      <c r="Q811" s="677"/>
    </row>
    <row r="812" spans="2:17">
      <c r="B812" s="334"/>
      <c r="C812" s="725">
        <f>IF(D784="","-",+C811+1)</f>
        <v>2036</v>
      </c>
      <c r="D812" s="676">
        <f t="shared" si="78"/>
        <v>472065.02966101776</v>
      </c>
      <c r="E812" s="732">
        <f t="shared" si="79"/>
        <v>12505.033898305084</v>
      </c>
      <c r="F812" s="732">
        <f t="shared" si="72"/>
        <v>459559.99576271267</v>
      </c>
      <c r="G812" s="676">
        <f t="shared" si="73"/>
        <v>465812.51271186525</v>
      </c>
      <c r="H812" s="726">
        <f>+J785*G812+E812</f>
        <v>62769.175675612991</v>
      </c>
      <c r="I812" s="733">
        <f>+J786*G812+E812</f>
        <v>62769.175675612991</v>
      </c>
      <c r="J812" s="729">
        <f t="shared" si="74"/>
        <v>0</v>
      </c>
      <c r="K812" s="729"/>
      <c r="L812" s="734"/>
      <c r="M812" s="729">
        <f t="shared" si="75"/>
        <v>0</v>
      </c>
      <c r="N812" s="734"/>
      <c r="O812" s="729">
        <f t="shared" si="76"/>
        <v>0</v>
      </c>
      <c r="P812" s="729">
        <f t="shared" si="77"/>
        <v>0</v>
      </c>
      <c r="Q812" s="677"/>
    </row>
    <row r="813" spans="2:17">
      <c r="B813" s="334"/>
      <c r="C813" s="725">
        <f>IF(D784="","-",+C812+1)</f>
        <v>2037</v>
      </c>
      <c r="D813" s="676">
        <f t="shared" si="78"/>
        <v>459559.99576271267</v>
      </c>
      <c r="E813" s="732">
        <f t="shared" si="79"/>
        <v>12505.033898305084</v>
      </c>
      <c r="F813" s="732">
        <f t="shared" si="72"/>
        <v>447054.96186440758</v>
      </c>
      <c r="G813" s="676">
        <f t="shared" si="73"/>
        <v>453307.4788135601</v>
      </c>
      <c r="H813" s="726">
        <f>+J785*G813+E813</f>
        <v>61419.802741993983</v>
      </c>
      <c r="I813" s="733">
        <f>+J786*G813+E813</f>
        <v>61419.802741993983</v>
      </c>
      <c r="J813" s="729">
        <f t="shared" si="74"/>
        <v>0</v>
      </c>
      <c r="K813" s="729"/>
      <c r="L813" s="734"/>
      <c r="M813" s="729">
        <f t="shared" si="75"/>
        <v>0</v>
      </c>
      <c r="N813" s="734"/>
      <c r="O813" s="729">
        <f t="shared" si="76"/>
        <v>0</v>
      </c>
      <c r="P813" s="729">
        <f t="shared" si="77"/>
        <v>0</v>
      </c>
      <c r="Q813" s="677"/>
    </row>
    <row r="814" spans="2:17">
      <c r="B814" s="334"/>
      <c r="C814" s="725">
        <f>IF(D784="","-",+C813+1)</f>
        <v>2038</v>
      </c>
      <c r="D814" s="676">
        <f t="shared" si="78"/>
        <v>447054.96186440758</v>
      </c>
      <c r="E814" s="732">
        <f t="shared" si="79"/>
        <v>12505.033898305084</v>
      </c>
      <c r="F814" s="732">
        <f t="shared" si="72"/>
        <v>434549.92796610249</v>
      </c>
      <c r="G814" s="676">
        <f t="shared" si="73"/>
        <v>440802.44491525507</v>
      </c>
      <c r="H814" s="726">
        <f>+J785*G814+E814</f>
        <v>60070.429808374989</v>
      </c>
      <c r="I814" s="733">
        <f>+J786*G814+E814</f>
        <v>60070.429808374989</v>
      </c>
      <c r="J814" s="729">
        <f t="shared" si="74"/>
        <v>0</v>
      </c>
      <c r="K814" s="729"/>
      <c r="L814" s="734"/>
      <c r="M814" s="729">
        <f t="shared" si="75"/>
        <v>0</v>
      </c>
      <c r="N814" s="734"/>
      <c r="O814" s="729">
        <f t="shared" si="76"/>
        <v>0</v>
      </c>
      <c r="P814" s="729">
        <f t="shared" si="77"/>
        <v>0</v>
      </c>
      <c r="Q814" s="677"/>
    </row>
    <row r="815" spans="2:17">
      <c r="B815" s="334"/>
      <c r="C815" s="725">
        <f>IF(D784="","-",+C814+1)</f>
        <v>2039</v>
      </c>
      <c r="D815" s="676">
        <f t="shared" si="78"/>
        <v>434549.92796610249</v>
      </c>
      <c r="E815" s="732">
        <f t="shared" si="79"/>
        <v>12505.033898305084</v>
      </c>
      <c r="F815" s="732">
        <f t="shared" si="72"/>
        <v>422044.8940677974</v>
      </c>
      <c r="G815" s="676">
        <f t="shared" si="73"/>
        <v>428297.41101694992</v>
      </c>
      <c r="H815" s="726">
        <f>+J785*G815+E815</f>
        <v>58721.056874755981</v>
      </c>
      <c r="I815" s="733">
        <f>+J786*G815+E815</f>
        <v>58721.056874755981</v>
      </c>
      <c r="J815" s="729">
        <f t="shared" si="74"/>
        <v>0</v>
      </c>
      <c r="K815" s="729"/>
      <c r="L815" s="734"/>
      <c r="M815" s="729">
        <f t="shared" si="75"/>
        <v>0</v>
      </c>
      <c r="N815" s="734"/>
      <c r="O815" s="729">
        <f t="shared" si="76"/>
        <v>0</v>
      </c>
      <c r="P815" s="729">
        <f t="shared" si="77"/>
        <v>0</v>
      </c>
      <c r="Q815" s="677"/>
    </row>
    <row r="816" spans="2:17">
      <c r="B816" s="334"/>
      <c r="C816" s="725">
        <f>IF(D784="","-",+C815+1)</f>
        <v>2040</v>
      </c>
      <c r="D816" s="676">
        <f t="shared" si="78"/>
        <v>422044.8940677974</v>
      </c>
      <c r="E816" s="732">
        <f t="shared" si="79"/>
        <v>12505.033898305084</v>
      </c>
      <c r="F816" s="732">
        <f t="shared" si="72"/>
        <v>409539.86016949231</v>
      </c>
      <c r="G816" s="676">
        <f t="shared" si="73"/>
        <v>415792.37711864489</v>
      </c>
      <c r="H816" s="726">
        <f>+J785*G816+E816</f>
        <v>57371.68394113698</v>
      </c>
      <c r="I816" s="733">
        <f>+J786*G816+E816</f>
        <v>57371.68394113698</v>
      </c>
      <c r="J816" s="729">
        <f t="shared" si="74"/>
        <v>0</v>
      </c>
      <c r="K816" s="729"/>
      <c r="L816" s="734"/>
      <c r="M816" s="729">
        <f t="shared" si="75"/>
        <v>0</v>
      </c>
      <c r="N816" s="734"/>
      <c r="O816" s="729">
        <f t="shared" si="76"/>
        <v>0</v>
      </c>
      <c r="P816" s="729">
        <f t="shared" si="77"/>
        <v>0</v>
      </c>
      <c r="Q816" s="677"/>
    </row>
    <row r="817" spans="2:17">
      <c r="B817" s="334"/>
      <c r="C817" s="725">
        <f>IF(D784="","-",+C816+1)</f>
        <v>2041</v>
      </c>
      <c r="D817" s="676">
        <f t="shared" si="78"/>
        <v>409539.86016949231</v>
      </c>
      <c r="E817" s="732">
        <f t="shared" si="79"/>
        <v>12505.033898305084</v>
      </c>
      <c r="F817" s="732">
        <f t="shared" si="72"/>
        <v>397034.82627118722</v>
      </c>
      <c r="G817" s="676">
        <f t="shared" si="73"/>
        <v>403287.34322033974</v>
      </c>
      <c r="H817" s="726">
        <f>+J785*G817+E817</f>
        <v>56022.311007517972</v>
      </c>
      <c r="I817" s="733">
        <f>+J786*G817+E817</f>
        <v>56022.311007517972</v>
      </c>
      <c r="J817" s="729">
        <f t="shared" si="74"/>
        <v>0</v>
      </c>
      <c r="K817" s="729"/>
      <c r="L817" s="734"/>
      <c r="M817" s="729">
        <f t="shared" si="75"/>
        <v>0</v>
      </c>
      <c r="N817" s="734"/>
      <c r="O817" s="729">
        <f t="shared" si="76"/>
        <v>0</v>
      </c>
      <c r="P817" s="729">
        <f t="shared" si="77"/>
        <v>0</v>
      </c>
      <c r="Q817" s="677"/>
    </row>
    <row r="818" spans="2:17">
      <c r="B818" s="334"/>
      <c r="C818" s="725">
        <f>IF(D784="","-",+C817+1)</f>
        <v>2042</v>
      </c>
      <c r="D818" s="676">
        <f t="shared" si="78"/>
        <v>397034.82627118722</v>
      </c>
      <c r="E818" s="732">
        <f t="shared" si="79"/>
        <v>12505.033898305084</v>
      </c>
      <c r="F818" s="732">
        <f t="shared" si="72"/>
        <v>384529.79237288213</v>
      </c>
      <c r="G818" s="676">
        <f t="shared" si="73"/>
        <v>390782.30932203471</v>
      </c>
      <c r="H818" s="726">
        <f>+J785*G818+E818</f>
        <v>54672.938073898978</v>
      </c>
      <c r="I818" s="733">
        <f>+J786*G818+E818</f>
        <v>54672.938073898978</v>
      </c>
      <c r="J818" s="729">
        <f t="shared" si="74"/>
        <v>0</v>
      </c>
      <c r="K818" s="729"/>
      <c r="L818" s="734"/>
      <c r="M818" s="729">
        <f t="shared" si="75"/>
        <v>0</v>
      </c>
      <c r="N818" s="734"/>
      <c r="O818" s="729">
        <f t="shared" si="76"/>
        <v>0</v>
      </c>
      <c r="P818" s="729">
        <f t="shared" si="77"/>
        <v>0</v>
      </c>
      <c r="Q818" s="677"/>
    </row>
    <row r="819" spans="2:17">
      <c r="B819" s="334"/>
      <c r="C819" s="725">
        <f>IF(D784="","-",+C818+1)</f>
        <v>2043</v>
      </c>
      <c r="D819" s="676">
        <f t="shared" si="78"/>
        <v>384529.79237288213</v>
      </c>
      <c r="E819" s="732">
        <f t="shared" si="79"/>
        <v>12505.033898305084</v>
      </c>
      <c r="F819" s="732">
        <f t="shared" si="72"/>
        <v>372024.75847457704</v>
      </c>
      <c r="G819" s="676">
        <f t="shared" si="73"/>
        <v>378277.27542372956</v>
      </c>
      <c r="H819" s="726">
        <f>+J785*G819+E819</f>
        <v>53323.56514027997</v>
      </c>
      <c r="I819" s="733">
        <f>+J786*G819+E819</f>
        <v>53323.56514027997</v>
      </c>
      <c r="J819" s="729">
        <f t="shared" si="74"/>
        <v>0</v>
      </c>
      <c r="K819" s="729"/>
      <c r="L819" s="734"/>
      <c r="M819" s="729">
        <f t="shared" si="75"/>
        <v>0</v>
      </c>
      <c r="N819" s="734"/>
      <c r="O819" s="729">
        <f t="shared" si="76"/>
        <v>0</v>
      </c>
      <c r="P819" s="729">
        <f t="shared" si="77"/>
        <v>0</v>
      </c>
      <c r="Q819" s="677"/>
    </row>
    <row r="820" spans="2:17">
      <c r="B820" s="334"/>
      <c r="C820" s="725">
        <f>IF(D784="","-",+C819+1)</f>
        <v>2044</v>
      </c>
      <c r="D820" s="676">
        <f t="shared" si="78"/>
        <v>372024.75847457704</v>
      </c>
      <c r="E820" s="732">
        <f t="shared" si="79"/>
        <v>12505.033898305084</v>
      </c>
      <c r="F820" s="732">
        <f t="shared" si="72"/>
        <v>359519.72457627195</v>
      </c>
      <c r="G820" s="676">
        <f t="shared" si="73"/>
        <v>365772.24152542453</v>
      </c>
      <c r="H820" s="726">
        <f>+J785*G820+E820</f>
        <v>51974.19220666097</v>
      </c>
      <c r="I820" s="733">
        <f>+J786*G820+E820</f>
        <v>51974.19220666097</v>
      </c>
      <c r="J820" s="729">
        <f t="shared" si="74"/>
        <v>0</v>
      </c>
      <c r="K820" s="729"/>
      <c r="L820" s="734"/>
      <c r="M820" s="729">
        <f t="shared" si="75"/>
        <v>0</v>
      </c>
      <c r="N820" s="734"/>
      <c r="O820" s="729">
        <f t="shared" si="76"/>
        <v>0</v>
      </c>
      <c r="P820" s="729">
        <f t="shared" si="77"/>
        <v>0</v>
      </c>
      <c r="Q820" s="677"/>
    </row>
    <row r="821" spans="2:17">
      <c r="B821" s="334"/>
      <c r="C821" s="725">
        <f>IF(D784="","-",+C820+1)</f>
        <v>2045</v>
      </c>
      <c r="D821" s="676">
        <f t="shared" si="78"/>
        <v>359519.72457627195</v>
      </c>
      <c r="E821" s="732">
        <f t="shared" si="79"/>
        <v>12505.033898305084</v>
      </c>
      <c r="F821" s="732">
        <f t="shared" si="72"/>
        <v>347014.69067796686</v>
      </c>
      <c r="G821" s="676">
        <f t="shared" si="73"/>
        <v>353267.20762711938</v>
      </c>
      <c r="H821" s="726">
        <f>+J785*G821+E821</f>
        <v>50624.819273041961</v>
      </c>
      <c r="I821" s="733">
        <f>+J786*G821+E821</f>
        <v>50624.819273041961</v>
      </c>
      <c r="J821" s="729">
        <f t="shared" si="74"/>
        <v>0</v>
      </c>
      <c r="K821" s="729"/>
      <c r="L821" s="734"/>
      <c r="M821" s="729">
        <f t="shared" si="75"/>
        <v>0</v>
      </c>
      <c r="N821" s="734"/>
      <c r="O821" s="729">
        <f t="shared" si="76"/>
        <v>0</v>
      </c>
      <c r="P821" s="729">
        <f t="shared" si="77"/>
        <v>0</v>
      </c>
      <c r="Q821" s="677"/>
    </row>
    <row r="822" spans="2:17">
      <c r="B822" s="334"/>
      <c r="C822" s="725">
        <f>IF(D784="","-",+C821+1)</f>
        <v>2046</v>
      </c>
      <c r="D822" s="676">
        <f t="shared" si="78"/>
        <v>347014.69067796686</v>
      </c>
      <c r="E822" s="732">
        <f t="shared" si="79"/>
        <v>12505.033898305084</v>
      </c>
      <c r="F822" s="732">
        <f t="shared" si="72"/>
        <v>334509.65677966177</v>
      </c>
      <c r="G822" s="676">
        <f t="shared" si="73"/>
        <v>340762.17372881435</v>
      </c>
      <c r="H822" s="726">
        <f>+J785*G822+E822</f>
        <v>49275.446339422968</v>
      </c>
      <c r="I822" s="733">
        <f>+J786*G822+E822</f>
        <v>49275.446339422968</v>
      </c>
      <c r="J822" s="729">
        <f t="shared" si="74"/>
        <v>0</v>
      </c>
      <c r="K822" s="729"/>
      <c r="L822" s="734"/>
      <c r="M822" s="729">
        <f t="shared" si="75"/>
        <v>0</v>
      </c>
      <c r="N822" s="734"/>
      <c r="O822" s="729">
        <f t="shared" si="76"/>
        <v>0</v>
      </c>
      <c r="P822" s="729">
        <f t="shared" si="77"/>
        <v>0</v>
      </c>
      <c r="Q822" s="677"/>
    </row>
    <row r="823" spans="2:17">
      <c r="B823" s="334"/>
      <c r="C823" s="725">
        <f>IF(D784="","-",+C822+1)</f>
        <v>2047</v>
      </c>
      <c r="D823" s="676">
        <f t="shared" si="78"/>
        <v>334509.65677966177</v>
      </c>
      <c r="E823" s="732">
        <f t="shared" si="79"/>
        <v>12505.033898305084</v>
      </c>
      <c r="F823" s="732">
        <f t="shared" si="72"/>
        <v>322004.62288135668</v>
      </c>
      <c r="G823" s="676">
        <f t="shared" si="73"/>
        <v>328257.1398305092</v>
      </c>
      <c r="H823" s="726">
        <f>+J785*G823+E823</f>
        <v>47926.07340580396</v>
      </c>
      <c r="I823" s="733">
        <f>+J786*G823+E823</f>
        <v>47926.07340580396</v>
      </c>
      <c r="J823" s="729">
        <f t="shared" si="74"/>
        <v>0</v>
      </c>
      <c r="K823" s="729"/>
      <c r="L823" s="734"/>
      <c r="M823" s="729">
        <f t="shared" si="75"/>
        <v>0</v>
      </c>
      <c r="N823" s="734"/>
      <c r="O823" s="729">
        <f t="shared" si="76"/>
        <v>0</v>
      </c>
      <c r="P823" s="729">
        <f t="shared" si="77"/>
        <v>0</v>
      </c>
      <c r="Q823" s="677"/>
    </row>
    <row r="824" spans="2:17">
      <c r="B824" s="334"/>
      <c r="C824" s="725">
        <f>IF(D784="","-",+C823+1)</f>
        <v>2048</v>
      </c>
      <c r="D824" s="676">
        <f t="shared" si="78"/>
        <v>322004.62288135668</v>
      </c>
      <c r="E824" s="732">
        <f t="shared" si="79"/>
        <v>12505.033898305084</v>
      </c>
      <c r="F824" s="732">
        <f t="shared" si="72"/>
        <v>309499.5889830516</v>
      </c>
      <c r="G824" s="676">
        <f t="shared" si="73"/>
        <v>315752.10593220417</v>
      </c>
      <c r="H824" s="726">
        <f>+J785*G824+E824</f>
        <v>46576.700472184966</v>
      </c>
      <c r="I824" s="733">
        <f>+J786*G824+E824</f>
        <v>46576.700472184966</v>
      </c>
      <c r="J824" s="729">
        <f t="shared" si="74"/>
        <v>0</v>
      </c>
      <c r="K824" s="729"/>
      <c r="L824" s="734"/>
      <c r="M824" s="729">
        <f t="shared" si="75"/>
        <v>0</v>
      </c>
      <c r="N824" s="734"/>
      <c r="O824" s="729">
        <f t="shared" si="76"/>
        <v>0</v>
      </c>
      <c r="P824" s="729">
        <f t="shared" si="77"/>
        <v>0</v>
      </c>
      <c r="Q824" s="677"/>
    </row>
    <row r="825" spans="2:17">
      <c r="B825" s="334"/>
      <c r="C825" s="725">
        <f>IF(D784="","-",+C824+1)</f>
        <v>2049</v>
      </c>
      <c r="D825" s="676">
        <f t="shared" si="78"/>
        <v>309499.5889830516</v>
      </c>
      <c r="E825" s="732">
        <f t="shared" si="79"/>
        <v>12505.033898305084</v>
      </c>
      <c r="F825" s="732">
        <f t="shared" si="72"/>
        <v>296994.55508474651</v>
      </c>
      <c r="G825" s="676">
        <f t="shared" si="73"/>
        <v>303247.07203389902</v>
      </c>
      <c r="H825" s="726">
        <f>+J785*G825+E825</f>
        <v>45227.327538565958</v>
      </c>
      <c r="I825" s="733">
        <f>+J786*G825+E825</f>
        <v>45227.327538565958</v>
      </c>
      <c r="J825" s="729">
        <f t="shared" si="74"/>
        <v>0</v>
      </c>
      <c r="K825" s="729"/>
      <c r="L825" s="734"/>
      <c r="M825" s="729">
        <f t="shared" si="75"/>
        <v>0</v>
      </c>
      <c r="N825" s="734"/>
      <c r="O825" s="729">
        <f t="shared" si="76"/>
        <v>0</v>
      </c>
      <c r="P825" s="729">
        <f t="shared" si="77"/>
        <v>0</v>
      </c>
      <c r="Q825" s="677"/>
    </row>
    <row r="826" spans="2:17">
      <c r="B826" s="334"/>
      <c r="C826" s="725">
        <f>IF(D784="","-",+C825+1)</f>
        <v>2050</v>
      </c>
      <c r="D826" s="676">
        <f t="shared" si="78"/>
        <v>296994.55508474651</v>
      </c>
      <c r="E826" s="732">
        <f t="shared" si="79"/>
        <v>12505.033898305084</v>
      </c>
      <c r="F826" s="732">
        <f t="shared" si="72"/>
        <v>284489.52118644142</v>
      </c>
      <c r="G826" s="676">
        <f t="shared" si="73"/>
        <v>290742.03813559399</v>
      </c>
      <c r="H826" s="726">
        <f>+J785*G826+E826</f>
        <v>43877.954604946957</v>
      </c>
      <c r="I826" s="733">
        <f>+J786*G826+E826</f>
        <v>43877.954604946957</v>
      </c>
      <c r="J826" s="729">
        <f t="shared" si="74"/>
        <v>0</v>
      </c>
      <c r="K826" s="729"/>
      <c r="L826" s="734"/>
      <c r="M826" s="729">
        <f t="shared" si="75"/>
        <v>0</v>
      </c>
      <c r="N826" s="734"/>
      <c r="O826" s="729">
        <f t="shared" si="76"/>
        <v>0</v>
      </c>
      <c r="P826" s="729">
        <f t="shared" si="77"/>
        <v>0</v>
      </c>
      <c r="Q826" s="677"/>
    </row>
    <row r="827" spans="2:17">
      <c r="B827" s="334"/>
      <c r="C827" s="725">
        <f>IF(D784="","-",+C826+1)</f>
        <v>2051</v>
      </c>
      <c r="D827" s="676">
        <f t="shared" si="78"/>
        <v>284489.52118644142</v>
      </c>
      <c r="E827" s="732">
        <f t="shared" si="79"/>
        <v>12505.033898305084</v>
      </c>
      <c r="F827" s="732">
        <f t="shared" si="72"/>
        <v>271984.48728813633</v>
      </c>
      <c r="G827" s="676">
        <f t="shared" si="73"/>
        <v>278237.00423728884</v>
      </c>
      <c r="H827" s="726">
        <f>+J785*G827+E827</f>
        <v>42528.581671327949</v>
      </c>
      <c r="I827" s="733">
        <f>+J786*G827+E827</f>
        <v>42528.581671327949</v>
      </c>
      <c r="J827" s="729">
        <f t="shared" si="74"/>
        <v>0</v>
      </c>
      <c r="K827" s="729"/>
      <c r="L827" s="734"/>
      <c r="M827" s="729">
        <f t="shared" si="75"/>
        <v>0</v>
      </c>
      <c r="N827" s="734"/>
      <c r="O827" s="729">
        <f t="shared" si="76"/>
        <v>0</v>
      </c>
      <c r="P827" s="729">
        <f t="shared" si="77"/>
        <v>0</v>
      </c>
      <c r="Q827" s="677"/>
    </row>
    <row r="828" spans="2:17">
      <c r="B828" s="334"/>
      <c r="C828" s="725">
        <f>IF(D784="","-",+C827+1)</f>
        <v>2052</v>
      </c>
      <c r="D828" s="676">
        <f t="shared" si="78"/>
        <v>271984.48728813633</v>
      </c>
      <c r="E828" s="732">
        <f t="shared" si="79"/>
        <v>12505.033898305084</v>
      </c>
      <c r="F828" s="732">
        <f t="shared" si="72"/>
        <v>259479.45338983124</v>
      </c>
      <c r="G828" s="676">
        <f t="shared" si="73"/>
        <v>265731.97033898381</v>
      </c>
      <c r="H828" s="726">
        <f>+J785*G828+E828</f>
        <v>41179.208737708956</v>
      </c>
      <c r="I828" s="733">
        <f>+J786*G828+E828</f>
        <v>41179.208737708956</v>
      </c>
      <c r="J828" s="729">
        <f t="shared" si="74"/>
        <v>0</v>
      </c>
      <c r="K828" s="729"/>
      <c r="L828" s="734"/>
      <c r="M828" s="729">
        <f t="shared" si="75"/>
        <v>0</v>
      </c>
      <c r="N828" s="734"/>
      <c r="O828" s="729">
        <f t="shared" si="76"/>
        <v>0</v>
      </c>
      <c r="P828" s="729">
        <f t="shared" si="77"/>
        <v>0</v>
      </c>
      <c r="Q828" s="677"/>
    </row>
    <row r="829" spans="2:17">
      <c r="B829" s="334"/>
      <c r="C829" s="725">
        <f>IF(D784="","-",+C828+1)</f>
        <v>2053</v>
      </c>
      <c r="D829" s="676">
        <f t="shared" si="78"/>
        <v>259479.45338983124</v>
      </c>
      <c r="E829" s="732">
        <f t="shared" si="79"/>
        <v>12505.033898305084</v>
      </c>
      <c r="F829" s="732">
        <f t="shared" si="72"/>
        <v>246974.41949152615</v>
      </c>
      <c r="G829" s="676">
        <f t="shared" si="73"/>
        <v>253226.93644067869</v>
      </c>
      <c r="H829" s="726">
        <f>+J785*G829+E829</f>
        <v>39829.835804089947</v>
      </c>
      <c r="I829" s="733">
        <f>+J786*G829+E829</f>
        <v>39829.835804089947</v>
      </c>
      <c r="J829" s="729">
        <f t="shared" si="74"/>
        <v>0</v>
      </c>
      <c r="K829" s="729"/>
      <c r="L829" s="734"/>
      <c r="M829" s="729">
        <f t="shared" si="75"/>
        <v>0</v>
      </c>
      <c r="N829" s="734"/>
      <c r="O829" s="729">
        <f t="shared" si="76"/>
        <v>0</v>
      </c>
      <c r="P829" s="729">
        <f t="shared" si="77"/>
        <v>0</v>
      </c>
      <c r="Q829" s="677"/>
    </row>
    <row r="830" spans="2:17">
      <c r="B830" s="334"/>
      <c r="C830" s="725">
        <f>IF(D784="","-",+C829+1)</f>
        <v>2054</v>
      </c>
      <c r="D830" s="676">
        <f t="shared" si="78"/>
        <v>246974.41949152615</v>
      </c>
      <c r="E830" s="732">
        <f t="shared" si="79"/>
        <v>12505.033898305084</v>
      </c>
      <c r="F830" s="732">
        <f t="shared" si="72"/>
        <v>234469.38559322106</v>
      </c>
      <c r="G830" s="676">
        <f t="shared" si="73"/>
        <v>240721.9025423736</v>
      </c>
      <c r="H830" s="726">
        <f>+J785*G830+E830</f>
        <v>38480.462870470947</v>
      </c>
      <c r="I830" s="733">
        <f>+J786*G830+E830</f>
        <v>38480.462870470947</v>
      </c>
      <c r="J830" s="729">
        <f t="shared" si="74"/>
        <v>0</v>
      </c>
      <c r="K830" s="729"/>
      <c r="L830" s="734"/>
      <c r="M830" s="729">
        <f t="shared" si="75"/>
        <v>0</v>
      </c>
      <c r="N830" s="734"/>
      <c r="O830" s="729">
        <f t="shared" si="76"/>
        <v>0</v>
      </c>
      <c r="P830" s="729">
        <f t="shared" si="77"/>
        <v>0</v>
      </c>
      <c r="Q830" s="677"/>
    </row>
    <row r="831" spans="2:17">
      <c r="B831" s="334"/>
      <c r="C831" s="725">
        <f>IF(D784="","-",+C830+1)</f>
        <v>2055</v>
      </c>
      <c r="D831" s="676">
        <f t="shared" si="78"/>
        <v>234469.38559322106</v>
      </c>
      <c r="E831" s="732">
        <f t="shared" si="79"/>
        <v>12505.033898305084</v>
      </c>
      <c r="F831" s="732">
        <f t="shared" si="72"/>
        <v>221964.35169491597</v>
      </c>
      <c r="G831" s="676">
        <f t="shared" si="73"/>
        <v>228216.86864406851</v>
      </c>
      <c r="H831" s="726">
        <f>+J785*G831+E831</f>
        <v>37131.089936851946</v>
      </c>
      <c r="I831" s="733">
        <f>+J786*G831+E831</f>
        <v>37131.089936851946</v>
      </c>
      <c r="J831" s="729">
        <f t="shared" si="74"/>
        <v>0</v>
      </c>
      <c r="K831" s="729"/>
      <c r="L831" s="734"/>
      <c r="M831" s="729">
        <f t="shared" si="75"/>
        <v>0</v>
      </c>
      <c r="N831" s="734"/>
      <c r="O831" s="729">
        <f t="shared" si="76"/>
        <v>0</v>
      </c>
      <c r="P831" s="729">
        <f t="shared" si="77"/>
        <v>0</v>
      </c>
      <c r="Q831" s="677"/>
    </row>
    <row r="832" spans="2:17">
      <c r="B832" s="334"/>
      <c r="C832" s="725">
        <f>IF(D784="","-",+C831+1)</f>
        <v>2056</v>
      </c>
      <c r="D832" s="676">
        <f t="shared" si="78"/>
        <v>221964.35169491597</v>
      </c>
      <c r="E832" s="732">
        <f t="shared" si="79"/>
        <v>12505.033898305084</v>
      </c>
      <c r="F832" s="732">
        <f t="shared" si="72"/>
        <v>209459.31779661088</v>
      </c>
      <c r="G832" s="676">
        <f t="shared" si="73"/>
        <v>215711.83474576342</v>
      </c>
      <c r="H832" s="726">
        <f>+J785*G832+E832</f>
        <v>35781.717003232945</v>
      </c>
      <c r="I832" s="733">
        <f>+J786*G832+E832</f>
        <v>35781.717003232945</v>
      </c>
      <c r="J832" s="729">
        <f t="shared" si="74"/>
        <v>0</v>
      </c>
      <c r="K832" s="729"/>
      <c r="L832" s="734"/>
      <c r="M832" s="729">
        <f t="shared" si="75"/>
        <v>0</v>
      </c>
      <c r="N832" s="734"/>
      <c r="O832" s="729">
        <f t="shared" si="76"/>
        <v>0</v>
      </c>
      <c r="P832" s="729">
        <f t="shared" si="77"/>
        <v>0</v>
      </c>
      <c r="Q832" s="677"/>
    </row>
    <row r="833" spans="2:17">
      <c r="B833" s="334"/>
      <c r="C833" s="725">
        <f>IF(D784="","-",+C832+1)</f>
        <v>2057</v>
      </c>
      <c r="D833" s="676">
        <f t="shared" si="78"/>
        <v>209459.31779661088</v>
      </c>
      <c r="E833" s="732">
        <f t="shared" si="79"/>
        <v>12505.033898305084</v>
      </c>
      <c r="F833" s="732">
        <f t="shared" si="72"/>
        <v>196954.28389830579</v>
      </c>
      <c r="G833" s="676">
        <f t="shared" si="73"/>
        <v>203206.80084745833</v>
      </c>
      <c r="H833" s="726">
        <f>+J785*G833+E833</f>
        <v>34432.344069613937</v>
      </c>
      <c r="I833" s="733">
        <f>+J786*G833+E833</f>
        <v>34432.344069613937</v>
      </c>
      <c r="J833" s="729">
        <f t="shared" si="74"/>
        <v>0</v>
      </c>
      <c r="K833" s="729"/>
      <c r="L833" s="734"/>
      <c r="M833" s="729">
        <f t="shared" si="75"/>
        <v>0</v>
      </c>
      <c r="N833" s="734"/>
      <c r="O833" s="729">
        <f t="shared" si="76"/>
        <v>0</v>
      </c>
      <c r="P833" s="729">
        <f t="shared" si="77"/>
        <v>0</v>
      </c>
      <c r="Q833" s="677"/>
    </row>
    <row r="834" spans="2:17">
      <c r="B834" s="334"/>
      <c r="C834" s="725">
        <f>IF(D784="","-",+C833+1)</f>
        <v>2058</v>
      </c>
      <c r="D834" s="676">
        <f t="shared" si="78"/>
        <v>196954.28389830579</v>
      </c>
      <c r="E834" s="732">
        <f t="shared" si="79"/>
        <v>12505.033898305084</v>
      </c>
      <c r="F834" s="732">
        <f t="shared" si="72"/>
        <v>184449.2500000007</v>
      </c>
      <c r="G834" s="676">
        <f t="shared" si="73"/>
        <v>190701.76694915324</v>
      </c>
      <c r="H834" s="726">
        <f>+J785*G834+E834</f>
        <v>33082.971135994936</v>
      </c>
      <c r="I834" s="733">
        <f>+J786*G834+E834</f>
        <v>33082.971135994936</v>
      </c>
      <c r="J834" s="729">
        <f t="shared" si="74"/>
        <v>0</v>
      </c>
      <c r="K834" s="729"/>
      <c r="L834" s="734"/>
      <c r="M834" s="729">
        <f t="shared" si="75"/>
        <v>0</v>
      </c>
      <c r="N834" s="734"/>
      <c r="O834" s="729">
        <f t="shared" si="76"/>
        <v>0</v>
      </c>
      <c r="P834" s="729">
        <f t="shared" si="77"/>
        <v>0</v>
      </c>
      <c r="Q834" s="677"/>
    </row>
    <row r="835" spans="2:17">
      <c r="B835" s="334"/>
      <c r="C835" s="725">
        <f>IF(D784="","-",+C834+1)</f>
        <v>2059</v>
      </c>
      <c r="D835" s="676">
        <f t="shared" si="78"/>
        <v>184449.2500000007</v>
      </c>
      <c r="E835" s="732">
        <f t="shared" si="79"/>
        <v>12505.033898305084</v>
      </c>
      <c r="F835" s="732">
        <f t="shared" si="72"/>
        <v>171944.21610169561</v>
      </c>
      <c r="G835" s="676">
        <f t="shared" si="73"/>
        <v>178196.73305084815</v>
      </c>
      <c r="H835" s="726">
        <f>+J785*G835+E835</f>
        <v>31733.598202375935</v>
      </c>
      <c r="I835" s="733">
        <f>+J786*G835+E835</f>
        <v>31733.598202375935</v>
      </c>
      <c r="J835" s="729">
        <f t="shared" si="74"/>
        <v>0</v>
      </c>
      <c r="K835" s="729"/>
      <c r="L835" s="734"/>
      <c r="M835" s="729">
        <f t="shared" si="75"/>
        <v>0</v>
      </c>
      <c r="N835" s="734"/>
      <c r="O835" s="729">
        <f t="shared" si="76"/>
        <v>0</v>
      </c>
      <c r="P835" s="729">
        <f t="shared" si="77"/>
        <v>0</v>
      </c>
      <c r="Q835" s="677"/>
    </row>
    <row r="836" spans="2:17">
      <c r="B836" s="334"/>
      <c r="C836" s="725">
        <f>IF(D784="","-",+C835+1)</f>
        <v>2060</v>
      </c>
      <c r="D836" s="676">
        <f t="shared" si="78"/>
        <v>171944.21610169561</v>
      </c>
      <c r="E836" s="732">
        <f t="shared" si="79"/>
        <v>12505.033898305084</v>
      </c>
      <c r="F836" s="732">
        <f t="shared" si="72"/>
        <v>159439.18220339052</v>
      </c>
      <c r="G836" s="676">
        <f t="shared" si="73"/>
        <v>165691.69915254306</v>
      </c>
      <c r="H836" s="726">
        <f>+J785*G836+E836</f>
        <v>30384.225268756934</v>
      </c>
      <c r="I836" s="733">
        <f>+J786*G836+E836</f>
        <v>30384.225268756934</v>
      </c>
      <c r="J836" s="729">
        <f t="shared" si="74"/>
        <v>0</v>
      </c>
      <c r="K836" s="729"/>
      <c r="L836" s="734"/>
      <c r="M836" s="729">
        <f t="shared" si="75"/>
        <v>0</v>
      </c>
      <c r="N836" s="734"/>
      <c r="O836" s="729">
        <f t="shared" si="76"/>
        <v>0</v>
      </c>
      <c r="P836" s="729">
        <f t="shared" si="77"/>
        <v>0</v>
      </c>
      <c r="Q836" s="677"/>
    </row>
    <row r="837" spans="2:17">
      <c r="B837" s="334"/>
      <c r="C837" s="725">
        <f>IF(D784="","-",+C836+1)</f>
        <v>2061</v>
      </c>
      <c r="D837" s="676">
        <f t="shared" si="78"/>
        <v>159439.18220339052</v>
      </c>
      <c r="E837" s="732">
        <f t="shared" si="79"/>
        <v>12505.033898305084</v>
      </c>
      <c r="F837" s="732">
        <f t="shared" si="72"/>
        <v>146934.14830508543</v>
      </c>
      <c r="G837" s="676">
        <f t="shared" si="73"/>
        <v>153186.66525423797</v>
      </c>
      <c r="H837" s="726">
        <f>+J785*G837+E837</f>
        <v>29034.852335137934</v>
      </c>
      <c r="I837" s="733">
        <f>+J786*G837+E837</f>
        <v>29034.852335137934</v>
      </c>
      <c r="J837" s="729">
        <f t="shared" si="74"/>
        <v>0</v>
      </c>
      <c r="K837" s="729"/>
      <c r="L837" s="734"/>
      <c r="M837" s="729">
        <f t="shared" si="75"/>
        <v>0</v>
      </c>
      <c r="N837" s="734"/>
      <c r="O837" s="729">
        <f t="shared" si="76"/>
        <v>0</v>
      </c>
      <c r="P837" s="729">
        <f t="shared" si="77"/>
        <v>0</v>
      </c>
      <c r="Q837" s="677"/>
    </row>
    <row r="838" spans="2:17">
      <c r="B838" s="334"/>
      <c r="C838" s="725">
        <f>IF(D784="","-",+C837+1)</f>
        <v>2062</v>
      </c>
      <c r="D838" s="676">
        <f t="shared" si="78"/>
        <v>146934.14830508543</v>
      </c>
      <c r="E838" s="732">
        <f t="shared" si="79"/>
        <v>12505.033898305084</v>
      </c>
      <c r="F838" s="732">
        <f t="shared" si="72"/>
        <v>134429.11440678034</v>
      </c>
      <c r="G838" s="676">
        <f t="shared" si="73"/>
        <v>140681.63135593288</v>
      </c>
      <c r="H838" s="726">
        <f>+J785*G838+E838</f>
        <v>27685.479401518929</v>
      </c>
      <c r="I838" s="733">
        <f>+J786*G838+E838</f>
        <v>27685.479401518929</v>
      </c>
      <c r="J838" s="729">
        <f t="shared" si="74"/>
        <v>0</v>
      </c>
      <c r="K838" s="729"/>
      <c r="L838" s="734"/>
      <c r="M838" s="729">
        <f t="shared" si="75"/>
        <v>0</v>
      </c>
      <c r="N838" s="734"/>
      <c r="O838" s="729">
        <f t="shared" si="76"/>
        <v>0</v>
      </c>
      <c r="P838" s="729">
        <f t="shared" si="77"/>
        <v>0</v>
      </c>
      <c r="Q838" s="677"/>
    </row>
    <row r="839" spans="2:17">
      <c r="B839" s="334"/>
      <c r="C839" s="725">
        <f>IF(D784="","-",+C838+1)</f>
        <v>2063</v>
      </c>
      <c r="D839" s="676">
        <f t="shared" si="78"/>
        <v>134429.11440678034</v>
      </c>
      <c r="E839" s="732">
        <f t="shared" si="79"/>
        <v>12505.033898305084</v>
      </c>
      <c r="F839" s="732">
        <f t="shared" si="72"/>
        <v>121924.08050847525</v>
      </c>
      <c r="G839" s="676">
        <f t="shared" si="73"/>
        <v>128176.59745762779</v>
      </c>
      <c r="H839" s="726">
        <f>+J785*G839+E839</f>
        <v>26336.106467899925</v>
      </c>
      <c r="I839" s="733">
        <f>+J786*G839+E839</f>
        <v>26336.106467899925</v>
      </c>
      <c r="J839" s="729">
        <f t="shared" si="74"/>
        <v>0</v>
      </c>
      <c r="K839" s="729"/>
      <c r="L839" s="734"/>
      <c r="M839" s="729">
        <f t="shared" si="75"/>
        <v>0</v>
      </c>
      <c r="N839" s="734"/>
      <c r="O839" s="729">
        <f t="shared" si="76"/>
        <v>0</v>
      </c>
      <c r="P839" s="729">
        <f t="shared" si="77"/>
        <v>0</v>
      </c>
      <c r="Q839" s="677"/>
    </row>
    <row r="840" spans="2:17">
      <c r="B840" s="334"/>
      <c r="C840" s="725">
        <f>IF(D784="","-",+C839+1)</f>
        <v>2064</v>
      </c>
      <c r="D840" s="676">
        <f t="shared" si="78"/>
        <v>121924.08050847525</v>
      </c>
      <c r="E840" s="732">
        <f t="shared" si="79"/>
        <v>12505.033898305084</v>
      </c>
      <c r="F840" s="732">
        <f t="shared" si="72"/>
        <v>109419.04661017016</v>
      </c>
      <c r="G840" s="676">
        <f t="shared" si="73"/>
        <v>115671.56355932271</v>
      </c>
      <c r="H840" s="726">
        <f>+J785*G840+E840</f>
        <v>24986.733534280924</v>
      </c>
      <c r="I840" s="733">
        <f>+J786*G840+E840</f>
        <v>24986.733534280924</v>
      </c>
      <c r="J840" s="729">
        <f t="shared" si="74"/>
        <v>0</v>
      </c>
      <c r="K840" s="729"/>
      <c r="L840" s="734"/>
      <c r="M840" s="729">
        <f t="shared" si="75"/>
        <v>0</v>
      </c>
      <c r="N840" s="734"/>
      <c r="O840" s="729">
        <f t="shared" si="76"/>
        <v>0</v>
      </c>
      <c r="P840" s="729">
        <f t="shared" si="77"/>
        <v>0</v>
      </c>
      <c r="Q840" s="677"/>
    </row>
    <row r="841" spans="2:17">
      <c r="B841" s="334"/>
      <c r="C841" s="725">
        <f>IF(D784="","-",+C840+1)</f>
        <v>2065</v>
      </c>
      <c r="D841" s="676">
        <f t="shared" si="78"/>
        <v>109419.04661017016</v>
      </c>
      <c r="E841" s="732">
        <f t="shared" si="79"/>
        <v>12505.033898305084</v>
      </c>
      <c r="F841" s="732">
        <f t="shared" si="72"/>
        <v>96914.012711865071</v>
      </c>
      <c r="G841" s="676">
        <f t="shared" si="73"/>
        <v>103166.52966101762</v>
      </c>
      <c r="H841" s="726">
        <f>+J785*G841+E841</f>
        <v>23637.360600661923</v>
      </c>
      <c r="I841" s="733">
        <f>+J786*G841+E841</f>
        <v>23637.360600661923</v>
      </c>
      <c r="J841" s="729">
        <f t="shared" si="74"/>
        <v>0</v>
      </c>
      <c r="K841" s="729"/>
      <c r="L841" s="734"/>
      <c r="M841" s="729">
        <f t="shared" si="75"/>
        <v>0</v>
      </c>
      <c r="N841" s="734"/>
      <c r="O841" s="729">
        <f t="shared" si="76"/>
        <v>0</v>
      </c>
      <c r="P841" s="729">
        <f t="shared" si="77"/>
        <v>0</v>
      </c>
      <c r="Q841" s="677"/>
    </row>
    <row r="842" spans="2:17">
      <c r="B842" s="334"/>
      <c r="C842" s="725">
        <f>IF(D784="","-",+C841+1)</f>
        <v>2066</v>
      </c>
      <c r="D842" s="676">
        <f t="shared" si="78"/>
        <v>96914.012711865071</v>
      </c>
      <c r="E842" s="732">
        <f t="shared" si="79"/>
        <v>12505.033898305084</v>
      </c>
      <c r="F842" s="732">
        <f t="shared" si="72"/>
        <v>84408.978813559981</v>
      </c>
      <c r="G842" s="676">
        <f t="shared" si="73"/>
        <v>90661.495762712526</v>
      </c>
      <c r="H842" s="726">
        <f>+J785*G842+E842</f>
        <v>22287.987667042918</v>
      </c>
      <c r="I842" s="733">
        <f>+J786*G842+E842</f>
        <v>22287.987667042918</v>
      </c>
      <c r="J842" s="729">
        <f t="shared" si="74"/>
        <v>0</v>
      </c>
      <c r="K842" s="729"/>
      <c r="L842" s="734"/>
      <c r="M842" s="729">
        <f t="shared" si="75"/>
        <v>0</v>
      </c>
      <c r="N842" s="734"/>
      <c r="O842" s="729">
        <f t="shared" si="76"/>
        <v>0</v>
      </c>
      <c r="P842" s="729">
        <f t="shared" si="77"/>
        <v>0</v>
      </c>
      <c r="Q842" s="677"/>
    </row>
    <row r="843" spans="2:17">
      <c r="B843" s="334"/>
      <c r="C843" s="725">
        <f>IF(D784="","-",+C842+1)</f>
        <v>2067</v>
      </c>
      <c r="D843" s="676">
        <f t="shared" si="78"/>
        <v>84408.978813559981</v>
      </c>
      <c r="E843" s="732">
        <f t="shared" si="79"/>
        <v>12505.033898305084</v>
      </c>
      <c r="F843" s="732">
        <f t="shared" si="72"/>
        <v>71903.944915254891</v>
      </c>
      <c r="G843" s="676">
        <f t="shared" si="73"/>
        <v>78156.461864407436</v>
      </c>
      <c r="H843" s="726">
        <f>+J785*G843+E843</f>
        <v>20938.614733423914</v>
      </c>
      <c r="I843" s="733">
        <f>+J786*G843+E843</f>
        <v>20938.614733423914</v>
      </c>
      <c r="J843" s="729">
        <f t="shared" si="74"/>
        <v>0</v>
      </c>
      <c r="K843" s="729"/>
      <c r="L843" s="734"/>
      <c r="M843" s="729">
        <f t="shared" si="75"/>
        <v>0</v>
      </c>
      <c r="N843" s="734"/>
      <c r="O843" s="729">
        <f t="shared" si="76"/>
        <v>0</v>
      </c>
      <c r="P843" s="729">
        <f t="shared" si="77"/>
        <v>0</v>
      </c>
      <c r="Q843" s="677"/>
    </row>
    <row r="844" spans="2:17">
      <c r="B844" s="334"/>
      <c r="C844" s="725">
        <f>IF(D784="","-",+C843+1)</f>
        <v>2068</v>
      </c>
      <c r="D844" s="676">
        <f t="shared" si="78"/>
        <v>71903.944915254891</v>
      </c>
      <c r="E844" s="732">
        <f t="shared" si="79"/>
        <v>12505.033898305084</v>
      </c>
      <c r="F844" s="732">
        <f t="shared" si="72"/>
        <v>59398.911016949809</v>
      </c>
      <c r="G844" s="676">
        <f t="shared" si="73"/>
        <v>65651.427966102347</v>
      </c>
      <c r="H844" s="726">
        <f>+J785*G844+E844</f>
        <v>19589.241799804913</v>
      </c>
      <c r="I844" s="733">
        <f>+J786*G844+E844</f>
        <v>19589.241799804913</v>
      </c>
      <c r="J844" s="729">
        <f t="shared" si="74"/>
        <v>0</v>
      </c>
      <c r="K844" s="729"/>
      <c r="L844" s="734"/>
      <c r="M844" s="729">
        <f t="shared" si="75"/>
        <v>0</v>
      </c>
      <c r="N844" s="734"/>
      <c r="O844" s="729">
        <f t="shared" si="76"/>
        <v>0</v>
      </c>
      <c r="P844" s="729">
        <f t="shared" si="77"/>
        <v>0</v>
      </c>
      <c r="Q844" s="677"/>
    </row>
    <row r="845" spans="2:17">
      <c r="B845" s="334"/>
      <c r="C845" s="725">
        <f>IF(D784="","-",+C844+1)</f>
        <v>2069</v>
      </c>
      <c r="D845" s="676">
        <f t="shared" si="78"/>
        <v>59398.911016949809</v>
      </c>
      <c r="E845" s="732">
        <f t="shared" si="79"/>
        <v>12505.033898305084</v>
      </c>
      <c r="F845" s="732">
        <f t="shared" si="72"/>
        <v>46893.877118644727</v>
      </c>
      <c r="G845" s="676">
        <f t="shared" si="73"/>
        <v>53146.394067797271</v>
      </c>
      <c r="H845" s="726">
        <f>+J785*G845+E845</f>
        <v>18239.868866185912</v>
      </c>
      <c r="I845" s="733">
        <f>+J786*G845+E845</f>
        <v>18239.868866185912</v>
      </c>
      <c r="J845" s="729">
        <f t="shared" si="74"/>
        <v>0</v>
      </c>
      <c r="K845" s="729"/>
      <c r="L845" s="734"/>
      <c r="M845" s="729">
        <f t="shared" si="75"/>
        <v>0</v>
      </c>
      <c r="N845" s="734"/>
      <c r="O845" s="729">
        <f t="shared" si="76"/>
        <v>0</v>
      </c>
      <c r="P845" s="729">
        <f t="shared" si="77"/>
        <v>0</v>
      </c>
      <c r="Q845" s="677"/>
    </row>
    <row r="846" spans="2:17">
      <c r="B846" s="334"/>
      <c r="C846" s="725">
        <f>IF(D784="","-",+C845+1)</f>
        <v>2070</v>
      </c>
      <c r="D846" s="676">
        <f t="shared" si="78"/>
        <v>46893.877118644727</v>
      </c>
      <c r="E846" s="732">
        <f t="shared" si="79"/>
        <v>12505.033898305084</v>
      </c>
      <c r="F846" s="732">
        <f t="shared" si="72"/>
        <v>34388.843220339644</v>
      </c>
      <c r="G846" s="676">
        <f t="shared" si="73"/>
        <v>40641.360169492182</v>
      </c>
      <c r="H846" s="726">
        <f>+J785*G846+E846</f>
        <v>16890.495932566912</v>
      </c>
      <c r="I846" s="733">
        <f>+J786*G846+E846</f>
        <v>16890.495932566912</v>
      </c>
      <c r="J846" s="729">
        <f t="shared" si="74"/>
        <v>0</v>
      </c>
      <c r="K846" s="729"/>
      <c r="L846" s="734"/>
      <c r="M846" s="729">
        <f t="shared" si="75"/>
        <v>0</v>
      </c>
      <c r="N846" s="734"/>
      <c r="O846" s="729">
        <f t="shared" si="76"/>
        <v>0</v>
      </c>
      <c r="P846" s="729">
        <f t="shared" si="77"/>
        <v>0</v>
      </c>
      <c r="Q846" s="677"/>
    </row>
    <row r="847" spans="2:17">
      <c r="B847" s="334"/>
      <c r="C847" s="725">
        <f>IF(D784="","-",+C846+1)</f>
        <v>2071</v>
      </c>
      <c r="D847" s="676">
        <f t="shared" si="78"/>
        <v>34388.843220339644</v>
      </c>
      <c r="E847" s="732">
        <f t="shared" si="79"/>
        <v>12505.033898305084</v>
      </c>
      <c r="F847" s="732">
        <f t="shared" si="72"/>
        <v>21883.809322034562</v>
      </c>
      <c r="G847" s="676">
        <f t="shared" si="73"/>
        <v>28136.326271187103</v>
      </c>
      <c r="H847" s="726">
        <f>+J785*G847+E847</f>
        <v>15541.122998947911</v>
      </c>
      <c r="I847" s="733">
        <f>+J786*G847+E847</f>
        <v>15541.122998947911</v>
      </c>
      <c r="J847" s="729">
        <f t="shared" si="74"/>
        <v>0</v>
      </c>
      <c r="K847" s="729"/>
      <c r="L847" s="734"/>
      <c r="M847" s="729">
        <f t="shared" si="75"/>
        <v>0</v>
      </c>
      <c r="N847" s="734"/>
      <c r="O847" s="729">
        <f t="shared" si="76"/>
        <v>0</v>
      </c>
      <c r="P847" s="729">
        <f t="shared" si="77"/>
        <v>0</v>
      </c>
      <c r="Q847" s="677"/>
    </row>
    <row r="848" spans="2:17">
      <c r="B848" s="334"/>
      <c r="C848" s="725">
        <f>IF(D784="","-",+C847+1)</f>
        <v>2072</v>
      </c>
      <c r="D848" s="676">
        <f t="shared" si="78"/>
        <v>21883.809322034562</v>
      </c>
      <c r="E848" s="732">
        <f t="shared" si="79"/>
        <v>12505.033898305084</v>
      </c>
      <c r="F848" s="732">
        <f t="shared" si="72"/>
        <v>9378.7754237294776</v>
      </c>
      <c r="G848" s="676">
        <f t="shared" si="73"/>
        <v>15631.292372882021</v>
      </c>
      <c r="H848" s="726">
        <f>+J785*G848+E848</f>
        <v>14191.750065328908</v>
      </c>
      <c r="I848" s="733">
        <f>+J786*G848+E848</f>
        <v>14191.750065328908</v>
      </c>
      <c r="J848" s="729">
        <f t="shared" si="74"/>
        <v>0</v>
      </c>
      <c r="K848" s="729"/>
      <c r="L848" s="734"/>
      <c r="M848" s="729">
        <f t="shared" si="75"/>
        <v>0</v>
      </c>
      <c r="N848" s="734"/>
      <c r="O848" s="729">
        <f t="shared" si="76"/>
        <v>0</v>
      </c>
      <c r="P848" s="729">
        <f t="shared" si="77"/>
        <v>0</v>
      </c>
      <c r="Q848" s="677"/>
    </row>
    <row r="849" spans="1:17" ht="13.5" thickBot="1">
      <c r="B849" s="334"/>
      <c r="C849" s="737">
        <f>IF(D784="","-",+C848+1)</f>
        <v>2073</v>
      </c>
      <c r="D849" s="738">
        <f t="shared" si="78"/>
        <v>9378.7754237294776</v>
      </c>
      <c r="E849" s="739">
        <f t="shared" si="79"/>
        <v>9378.7754237294776</v>
      </c>
      <c r="F849" s="739">
        <f t="shared" si="72"/>
        <v>0</v>
      </c>
      <c r="G849" s="738">
        <f t="shared" si="73"/>
        <v>4689.3877118647388</v>
      </c>
      <c r="H849" s="740">
        <f>+J785*G849+E849</f>
        <v>9884.7902738366392</v>
      </c>
      <c r="I849" s="740">
        <f>+J786*G849+E849</f>
        <v>9884.7902738366392</v>
      </c>
      <c r="J849" s="741">
        <f t="shared" si="74"/>
        <v>0</v>
      </c>
      <c r="K849" s="729"/>
      <c r="L849" s="742"/>
      <c r="M849" s="741">
        <f t="shared" si="75"/>
        <v>0</v>
      </c>
      <c r="N849" s="742"/>
      <c r="O849" s="741">
        <f t="shared" si="76"/>
        <v>0</v>
      </c>
      <c r="P849" s="741">
        <f t="shared" si="77"/>
        <v>0</v>
      </c>
      <c r="Q849" s="677"/>
    </row>
    <row r="850" spans="1:17">
      <c r="B850" s="334"/>
      <c r="C850" s="676" t="s">
        <v>289</v>
      </c>
      <c r="D850" s="672"/>
      <c r="E850" s="672">
        <f>SUM(E790:E849)</f>
        <v>737796.99999999988</v>
      </c>
      <c r="F850" s="672"/>
      <c r="G850" s="672"/>
      <c r="H850" s="672">
        <f>SUM(H790:H849)</f>
        <v>3146090.3432765184</v>
      </c>
      <c r="I850" s="672">
        <f>SUM(I790:I849)</f>
        <v>3146090.3432765184</v>
      </c>
      <c r="J850" s="672">
        <f>SUM(J790:J849)</f>
        <v>0</v>
      </c>
      <c r="K850" s="672"/>
      <c r="L850" s="672"/>
      <c r="M850" s="672"/>
      <c r="N850" s="672"/>
      <c r="O850" s="672"/>
      <c r="Q850" s="672"/>
    </row>
    <row r="851" spans="1:17">
      <c r="B851" s="334"/>
      <c r="D851" s="566"/>
      <c r="E851" s="543"/>
      <c r="F851" s="543"/>
      <c r="G851" s="543"/>
      <c r="H851" s="543"/>
      <c r="I851" s="649"/>
      <c r="J851" s="649"/>
      <c r="K851" s="672"/>
      <c r="L851" s="649"/>
      <c r="M851" s="649"/>
      <c r="N851" s="649"/>
      <c r="O851" s="649"/>
      <c r="Q851" s="672"/>
    </row>
    <row r="852" spans="1:17">
      <c r="B852" s="334"/>
      <c r="C852" s="543" t="s">
        <v>602</v>
      </c>
      <c r="D852" s="566"/>
      <c r="E852" s="543"/>
      <c r="F852" s="543"/>
      <c r="G852" s="543"/>
      <c r="H852" s="543"/>
      <c r="I852" s="649"/>
      <c r="J852" s="649"/>
      <c r="K852" s="672"/>
      <c r="L852" s="649"/>
      <c r="M852" s="649"/>
      <c r="N852" s="649"/>
      <c r="O852" s="649"/>
      <c r="Q852" s="672"/>
    </row>
    <row r="853" spans="1:17">
      <c r="B853" s="334"/>
      <c r="D853" s="566"/>
      <c r="E853" s="543"/>
      <c r="F853" s="543"/>
      <c r="G853" s="543"/>
      <c r="H853" s="543"/>
      <c r="I853" s="649"/>
      <c r="J853" s="649"/>
      <c r="K853" s="672"/>
      <c r="L853" s="649"/>
      <c r="M853" s="649"/>
      <c r="N853" s="649"/>
      <c r="O853" s="649"/>
      <c r="Q853" s="672"/>
    </row>
    <row r="854" spans="1:17">
      <c r="B854" s="334"/>
      <c r="C854" s="579" t="s">
        <v>603</v>
      </c>
      <c r="D854" s="676"/>
      <c r="E854" s="676"/>
      <c r="F854" s="676"/>
      <c r="G854" s="676"/>
      <c r="H854" s="672"/>
      <c r="I854" s="672"/>
      <c r="J854" s="677"/>
      <c r="K854" s="677"/>
      <c r="L854" s="677"/>
      <c r="M854" s="677"/>
      <c r="N854" s="677"/>
      <c r="O854" s="677"/>
      <c r="Q854" s="677"/>
    </row>
    <row r="855" spans="1:17">
      <c r="B855" s="334"/>
      <c r="C855" s="579" t="s">
        <v>477</v>
      </c>
      <c r="D855" s="676"/>
      <c r="E855" s="676"/>
      <c r="F855" s="676"/>
      <c r="G855" s="676"/>
      <c r="H855" s="672"/>
      <c r="I855" s="672"/>
      <c r="J855" s="677"/>
      <c r="K855" s="677"/>
      <c r="L855" s="677"/>
      <c r="M855" s="677"/>
      <c r="N855" s="677"/>
      <c r="O855" s="677"/>
      <c r="Q855" s="677"/>
    </row>
    <row r="856" spans="1:17">
      <c r="B856" s="334"/>
      <c r="C856" s="579" t="s">
        <v>290</v>
      </c>
      <c r="D856" s="676"/>
      <c r="E856" s="676"/>
      <c r="F856" s="676"/>
      <c r="G856" s="676"/>
      <c r="H856" s="672"/>
      <c r="I856" s="672"/>
      <c r="J856" s="677"/>
      <c r="K856" s="677"/>
      <c r="L856" s="677"/>
      <c r="M856" s="677"/>
      <c r="N856" s="677"/>
      <c r="O856" s="677"/>
      <c r="Q856" s="677"/>
    </row>
    <row r="857" spans="1:17" ht="20.25">
      <c r="A857" s="678" t="s">
        <v>780</v>
      </c>
      <c r="B857" s="543"/>
      <c r="C857" s="658"/>
      <c r="D857" s="566"/>
      <c r="E857" s="543"/>
      <c r="F857" s="648"/>
      <c r="G857" s="648"/>
      <c r="H857" s="543"/>
      <c r="I857" s="649"/>
      <c r="L857" s="679"/>
      <c r="M857" s="679"/>
      <c r="N857" s="679"/>
      <c r="O857" s="594" t="str">
        <f>"Page "&amp;SUM(Q$3:Q857)&amp;" of "</f>
        <v xml:space="preserve">Page 11 of </v>
      </c>
      <c r="P857" s="595">
        <f>COUNT(Q$8:Q$58123)</f>
        <v>15</v>
      </c>
      <c r="Q857" s="763">
        <v>1</v>
      </c>
    </row>
    <row r="858" spans="1:17">
      <c r="B858" s="543"/>
      <c r="C858" s="543"/>
      <c r="D858" s="566"/>
      <c r="E858" s="543"/>
      <c r="F858" s="543"/>
      <c r="G858" s="543"/>
      <c r="H858" s="543"/>
      <c r="I858" s="649"/>
      <c r="J858" s="543"/>
      <c r="K858" s="591"/>
      <c r="Q858" s="591"/>
    </row>
    <row r="859" spans="1:17" ht="18">
      <c r="B859" s="598" t="s">
        <v>175</v>
      </c>
      <c r="C859" s="680" t="s">
        <v>291</v>
      </c>
      <c r="D859" s="566"/>
      <c r="E859" s="543"/>
      <c r="F859" s="543"/>
      <c r="G859" s="543"/>
      <c r="H859" s="543"/>
      <c r="I859" s="649"/>
      <c r="J859" s="649"/>
      <c r="K859" s="672"/>
      <c r="L859" s="649"/>
      <c r="M859" s="649"/>
      <c r="N859" s="649"/>
      <c r="O859" s="649"/>
      <c r="Q859" s="672"/>
    </row>
    <row r="860" spans="1:17" ht="18.75">
      <c r="B860" s="598"/>
      <c r="C860" s="597"/>
      <c r="D860" s="566"/>
      <c r="E860" s="543"/>
      <c r="F860" s="543"/>
      <c r="G860" s="543"/>
      <c r="H860" s="543"/>
      <c r="I860" s="649"/>
      <c r="J860" s="649"/>
      <c r="K860" s="672"/>
      <c r="L860" s="649"/>
      <c r="M860" s="649"/>
      <c r="N860" s="649"/>
      <c r="O860" s="649"/>
      <c r="Q860" s="672"/>
    </row>
    <row r="861" spans="1:17" ht="18.75">
      <c r="B861" s="598"/>
      <c r="C861" s="597" t="s">
        <v>292</v>
      </c>
      <c r="D861" s="566"/>
      <c r="E861" s="543"/>
      <c r="F861" s="543"/>
      <c r="G861" s="543"/>
      <c r="H861" s="543"/>
      <c r="I861" s="649"/>
      <c r="J861" s="649"/>
      <c r="K861" s="672"/>
      <c r="L861" s="649"/>
      <c r="M861" s="649"/>
      <c r="N861" s="649"/>
      <c r="O861" s="649"/>
      <c r="Q861" s="672"/>
    </row>
    <row r="862" spans="1:17" ht="15.75" thickBot="1">
      <c r="B862" s="334"/>
      <c r="C862" s="400"/>
      <c r="D862" s="566"/>
      <c r="E862" s="543"/>
      <c r="F862" s="543"/>
      <c r="G862" s="543"/>
      <c r="H862" s="543"/>
      <c r="I862" s="649"/>
      <c r="J862" s="649"/>
      <c r="K862" s="672"/>
      <c r="L862" s="649"/>
      <c r="M862" s="649"/>
      <c r="N862" s="649"/>
      <c r="O862" s="649"/>
      <c r="Q862" s="672"/>
    </row>
    <row r="863" spans="1:17" ht="15.75">
      <c r="B863" s="334"/>
      <c r="C863" s="599" t="s">
        <v>293</v>
      </c>
      <c r="D863" s="566"/>
      <c r="E863" s="543"/>
      <c r="F863" s="543"/>
      <c r="G863" s="543"/>
      <c r="H863" s="874"/>
      <c r="I863" s="543" t="s">
        <v>272</v>
      </c>
      <c r="J863" s="543"/>
      <c r="K863" s="591"/>
      <c r="L863" s="764">
        <f>+J869</f>
        <v>2018</v>
      </c>
      <c r="M863" s="746" t="s">
        <v>255</v>
      </c>
      <c r="N863" s="746" t="s">
        <v>256</v>
      </c>
      <c r="O863" s="747" t="s">
        <v>257</v>
      </c>
      <c r="Q863" s="591"/>
    </row>
    <row r="864" spans="1:17" ht="15.75">
      <c r="B864" s="334"/>
      <c r="C864" s="599"/>
      <c r="D864" s="566"/>
      <c r="E864" s="543"/>
      <c r="F864" s="543"/>
      <c r="H864" s="543"/>
      <c r="I864" s="684"/>
      <c r="J864" s="684"/>
      <c r="K864" s="685"/>
      <c r="L864" s="765" t="s">
        <v>456</v>
      </c>
      <c r="M864" s="766">
        <f>VLOOKUP(J869,C876:P935,10)</f>
        <v>5966416</v>
      </c>
      <c r="N864" s="766">
        <f>VLOOKUP(J869,C876:P935,12)</f>
        <v>5966416</v>
      </c>
      <c r="O864" s="767">
        <f>+N864-M864</f>
        <v>0</v>
      </c>
      <c r="Q864" s="685"/>
    </row>
    <row r="865" spans="1:17">
      <c r="B865" s="334"/>
      <c r="C865" s="687" t="s">
        <v>294</v>
      </c>
      <c r="D865" s="1434" t="s">
        <v>1004</v>
      </c>
      <c r="E865" s="1434"/>
      <c r="F865" s="1434"/>
      <c r="G865" s="1434"/>
      <c r="H865" s="1434"/>
      <c r="I865" s="649"/>
      <c r="J865" s="649"/>
      <c r="K865" s="672"/>
      <c r="L865" s="765" t="s">
        <v>457</v>
      </c>
      <c r="M865" s="768">
        <f>VLOOKUP(J869,C876:P935,6)</f>
        <v>5884859.4582123281</v>
      </c>
      <c r="N865" s="768">
        <f>VLOOKUP(J869,C876:P935,7)</f>
        <v>5884859.4582123281</v>
      </c>
      <c r="O865" s="769">
        <f>+N865-M865</f>
        <v>0</v>
      </c>
      <c r="Q865" s="672"/>
    </row>
    <row r="866" spans="1:17" ht="13.5" thickBot="1">
      <c r="B866" s="334"/>
      <c r="C866" s="689"/>
      <c r="D866" s="690"/>
      <c r="E866" s="674"/>
      <c r="F866" s="674"/>
      <c r="G866" s="674"/>
      <c r="H866" s="691"/>
      <c r="I866" s="649"/>
      <c r="J866" s="649"/>
      <c r="K866" s="672"/>
      <c r="L866" s="710" t="s">
        <v>458</v>
      </c>
      <c r="M866" s="770">
        <f>+M865-M864</f>
        <v>-81556.541787671857</v>
      </c>
      <c r="N866" s="770">
        <f>+N865-N864</f>
        <v>-81556.541787671857</v>
      </c>
      <c r="O866" s="771">
        <f>+O865-O864</f>
        <v>0</v>
      </c>
      <c r="Q866" s="672"/>
    </row>
    <row r="867" spans="1:17" ht="13.5" thickBot="1">
      <c r="B867" s="334"/>
      <c r="C867" s="692"/>
      <c r="D867" s="693"/>
      <c r="E867" s="691"/>
      <c r="F867" s="691"/>
      <c r="G867" s="691"/>
      <c r="H867" s="691"/>
      <c r="I867" s="691"/>
      <c r="J867" s="691"/>
      <c r="K867" s="694"/>
      <c r="L867" s="691"/>
      <c r="M867" s="691"/>
      <c r="N867" s="691"/>
      <c r="O867" s="691"/>
      <c r="P867" s="579"/>
      <c r="Q867" s="694"/>
    </row>
    <row r="868" spans="1:17" ht="13.5" thickBot="1">
      <c r="B868" s="334"/>
      <c r="C868" s="696" t="s">
        <v>295</v>
      </c>
      <c r="D868" s="697"/>
      <c r="E868" s="697"/>
      <c r="F868" s="697"/>
      <c r="G868" s="697"/>
      <c r="H868" s="697"/>
      <c r="I868" s="697"/>
      <c r="J868" s="697"/>
      <c r="K868" s="699"/>
      <c r="P868" s="700"/>
      <c r="Q868" s="699"/>
    </row>
    <row r="869" spans="1:17" ht="15">
      <c r="A869" s="695"/>
      <c r="B869" s="334"/>
      <c r="C869" s="702" t="s">
        <v>273</v>
      </c>
      <c r="D869" s="1268">
        <v>48555872</v>
      </c>
      <c r="E869" s="658" t="s">
        <v>274</v>
      </c>
      <c r="H869" s="703"/>
      <c r="I869" s="703"/>
      <c r="J869" s="704">
        <v>2018</v>
      </c>
      <c r="K869" s="589"/>
      <c r="L869" s="1445" t="s">
        <v>275</v>
      </c>
      <c r="M869" s="1445"/>
      <c r="N869" s="1445"/>
      <c r="O869" s="1445"/>
      <c r="P869" s="591"/>
      <c r="Q869" s="589"/>
    </row>
    <row r="870" spans="1:17">
      <c r="A870" s="695"/>
      <c r="B870" s="334"/>
      <c r="C870" s="702" t="s">
        <v>276</v>
      </c>
      <c r="D870" s="876">
        <v>2016</v>
      </c>
      <c r="E870" s="702" t="s">
        <v>277</v>
      </c>
      <c r="F870" s="703"/>
      <c r="G870" s="703"/>
      <c r="I870" s="334"/>
      <c r="J870" s="879">
        <v>0</v>
      </c>
      <c r="K870" s="705"/>
      <c r="L870" s="672" t="s">
        <v>476</v>
      </c>
      <c r="P870" s="591"/>
      <c r="Q870" s="705"/>
    </row>
    <row r="871" spans="1:17">
      <c r="A871" s="695"/>
      <c r="B871" s="334"/>
      <c r="C871" s="702" t="s">
        <v>278</v>
      </c>
      <c r="D871" s="1269">
        <v>6</v>
      </c>
      <c r="E871" s="702" t="s">
        <v>279</v>
      </c>
      <c r="F871" s="703"/>
      <c r="G871" s="703"/>
      <c r="I871" s="334"/>
      <c r="J871" s="706">
        <f>$F$70</f>
        <v>0.10790637951024619</v>
      </c>
      <c r="K871" s="707"/>
      <c r="L871" s="543" t="str">
        <f>"          INPUT TRUE-UP ARR (WITH &amp; WITHOUT INCENTIVES) FROM EACH PRIOR YEAR"</f>
        <v xml:space="preserve">          INPUT TRUE-UP ARR (WITH &amp; WITHOUT INCENTIVES) FROM EACH PRIOR YEAR</v>
      </c>
      <c r="P871" s="591"/>
      <c r="Q871" s="707"/>
    </row>
    <row r="872" spans="1:17">
      <c r="A872" s="695"/>
      <c r="B872" s="334"/>
      <c r="C872" s="702" t="s">
        <v>280</v>
      </c>
      <c r="D872" s="708">
        <f>H79</f>
        <v>59</v>
      </c>
      <c r="E872" s="702" t="s">
        <v>281</v>
      </c>
      <c r="F872" s="703"/>
      <c r="G872" s="703"/>
      <c r="I872" s="334"/>
      <c r="J872" s="706">
        <f>IF(H863="",J871,$F$69)</f>
        <v>0.10790637951024619</v>
      </c>
      <c r="K872" s="709"/>
      <c r="L872" s="543" t="s">
        <v>363</v>
      </c>
      <c r="M872" s="709"/>
      <c r="N872" s="709"/>
      <c r="O872" s="709"/>
      <c r="P872" s="591"/>
      <c r="Q872" s="709"/>
    </row>
    <row r="873" spans="1:17" ht="13.5" thickBot="1">
      <c r="A873" s="695"/>
      <c r="B873" s="334"/>
      <c r="C873" s="702" t="s">
        <v>282</v>
      </c>
      <c r="D873" s="878" t="s">
        <v>995</v>
      </c>
      <c r="E873" s="710" t="s">
        <v>283</v>
      </c>
      <c r="F873" s="711"/>
      <c r="G873" s="711"/>
      <c r="H873" s="712"/>
      <c r="I873" s="712"/>
      <c r="J873" s="688">
        <f>IF(D869=0,0,D869/D872)</f>
        <v>822980.88135593222</v>
      </c>
      <c r="K873" s="672"/>
      <c r="L873" s="672" t="s">
        <v>364</v>
      </c>
      <c r="M873" s="672"/>
      <c r="N873" s="672"/>
      <c r="O873" s="672"/>
      <c r="P873" s="591"/>
      <c r="Q873" s="672"/>
    </row>
    <row r="874" spans="1:17" ht="38.25">
      <c r="A874" s="530"/>
      <c r="B874" s="530"/>
      <c r="C874" s="713" t="s">
        <v>273</v>
      </c>
      <c r="D874" s="714" t="s">
        <v>284</v>
      </c>
      <c r="E874" s="715" t="s">
        <v>285</v>
      </c>
      <c r="F874" s="714" t="s">
        <v>286</v>
      </c>
      <c r="G874" s="714" t="s">
        <v>459</v>
      </c>
      <c r="H874" s="715" t="s">
        <v>357</v>
      </c>
      <c r="I874" s="716" t="s">
        <v>357</v>
      </c>
      <c r="J874" s="713" t="s">
        <v>296</v>
      </c>
      <c r="K874" s="717"/>
      <c r="L874" s="715" t="s">
        <v>359</v>
      </c>
      <c r="M874" s="715" t="s">
        <v>365</v>
      </c>
      <c r="N874" s="715" t="s">
        <v>359</v>
      </c>
      <c r="O874" s="715" t="s">
        <v>367</v>
      </c>
      <c r="P874" s="715" t="s">
        <v>287</v>
      </c>
      <c r="Q874" s="718"/>
    </row>
    <row r="875" spans="1:17" ht="13.5" thickBot="1">
      <c r="B875" s="334"/>
      <c r="C875" s="719" t="s">
        <v>178</v>
      </c>
      <c r="D875" s="720" t="s">
        <v>179</v>
      </c>
      <c r="E875" s="719" t="s">
        <v>37</v>
      </c>
      <c r="F875" s="720" t="s">
        <v>179</v>
      </c>
      <c r="G875" s="720" t="s">
        <v>179</v>
      </c>
      <c r="H875" s="721" t="s">
        <v>299</v>
      </c>
      <c r="I875" s="722" t="s">
        <v>301</v>
      </c>
      <c r="J875" s="723" t="s">
        <v>390</v>
      </c>
      <c r="K875" s="724"/>
      <c r="L875" s="721" t="s">
        <v>288</v>
      </c>
      <c r="M875" s="721" t="s">
        <v>288</v>
      </c>
      <c r="N875" s="721" t="s">
        <v>468</v>
      </c>
      <c r="O875" s="721" t="s">
        <v>468</v>
      </c>
      <c r="P875" s="721" t="s">
        <v>468</v>
      </c>
      <c r="Q875" s="589"/>
    </row>
    <row r="876" spans="1:17">
      <c r="B876" s="334"/>
      <c r="C876" s="725">
        <f>IF(D870= "","-",D870)</f>
        <v>2016</v>
      </c>
      <c r="D876" s="676">
        <f>+D869</f>
        <v>48555872</v>
      </c>
      <c r="E876" s="726">
        <f>+J873/12*(12-D871)</f>
        <v>411490.44067796611</v>
      </c>
      <c r="F876" s="772">
        <f t="shared" ref="F876:F935" si="80">+D876-E876</f>
        <v>48144381.559322037</v>
      </c>
      <c r="G876" s="676">
        <f t="shared" ref="G876:G935" si="81">+(D876+F876)/2</f>
        <v>48350126.779661015</v>
      </c>
      <c r="H876" s="727">
        <f>+J871*G876+E876</f>
        <v>5628777.5703325849</v>
      </c>
      <c r="I876" s="728">
        <f>+J872*G876+E876</f>
        <v>5628777.5703325849</v>
      </c>
      <c r="J876" s="729">
        <f t="shared" ref="J876:J935" si="82">+I876-H876</f>
        <v>0</v>
      </c>
      <c r="K876" s="729"/>
      <c r="L876" s="730">
        <v>5862811</v>
      </c>
      <c r="M876" s="773">
        <f t="shared" ref="M876:M935" si="83">IF(L876&lt;&gt;0,+H876-L876,0)</f>
        <v>-234033.4296674151</v>
      </c>
      <c r="N876" s="730">
        <v>5862811</v>
      </c>
      <c r="O876" s="773">
        <f t="shared" ref="O876:O935" si="84">IF(N876&lt;&gt;0,+I876-N876,0)</f>
        <v>-234033.4296674151</v>
      </c>
      <c r="P876" s="773">
        <f t="shared" ref="P876:P935" si="85">+O876-M876</f>
        <v>0</v>
      </c>
      <c r="Q876" s="677"/>
    </row>
    <row r="877" spans="1:17">
      <c r="B877" s="334"/>
      <c r="C877" s="725">
        <f>IF(D870="","-",+C876+1)</f>
        <v>2017</v>
      </c>
      <c r="D877" s="676">
        <f t="shared" ref="D877:D935" si="86">F876</f>
        <v>48144381.559322037</v>
      </c>
      <c r="E877" s="732">
        <f>IF(D877&gt;$J$873,$J$873,D877)</f>
        <v>822980.88135593222</v>
      </c>
      <c r="F877" s="732">
        <f t="shared" si="80"/>
        <v>47321400.677966103</v>
      </c>
      <c r="G877" s="676">
        <f t="shared" si="81"/>
        <v>47732891.118644074</v>
      </c>
      <c r="H877" s="726">
        <f>+J871*G877+E877</f>
        <v>5973664.3455255991</v>
      </c>
      <c r="I877" s="733">
        <f>+J872*G877+E877</f>
        <v>5973664.3455255991</v>
      </c>
      <c r="J877" s="729">
        <f t="shared" si="82"/>
        <v>0</v>
      </c>
      <c r="K877" s="729"/>
      <c r="L877" s="734">
        <v>3438786</v>
      </c>
      <c r="M877" s="729">
        <f t="shared" si="83"/>
        <v>2534878.3455255991</v>
      </c>
      <c r="N877" s="734">
        <v>3438786</v>
      </c>
      <c r="O877" s="729">
        <f t="shared" si="84"/>
        <v>2534878.3455255991</v>
      </c>
      <c r="P877" s="729">
        <f t="shared" si="85"/>
        <v>0</v>
      </c>
      <c r="Q877" s="677"/>
    </row>
    <row r="878" spans="1:17">
      <c r="B878" s="334"/>
      <c r="C878" s="725">
        <f>IF(D870="","-",+C877+1)</f>
        <v>2018</v>
      </c>
      <c r="D878" s="1311">
        <f t="shared" si="86"/>
        <v>47321400.677966103</v>
      </c>
      <c r="E878" s="732">
        <f t="shared" ref="E878:E935" si="87">IF(D878&gt;$J$873,$J$873,D878)</f>
        <v>822980.88135593222</v>
      </c>
      <c r="F878" s="732">
        <f t="shared" si="80"/>
        <v>46498419.796610169</v>
      </c>
      <c r="G878" s="676">
        <f t="shared" si="81"/>
        <v>46909910.237288132</v>
      </c>
      <c r="H878" s="726">
        <f>+J871*G878+E878</f>
        <v>5884859.4582123281</v>
      </c>
      <c r="I878" s="733">
        <f>+J872*G878+E878</f>
        <v>5884859.4582123281</v>
      </c>
      <c r="J878" s="729">
        <f t="shared" si="82"/>
        <v>0</v>
      </c>
      <c r="K878" s="729"/>
      <c r="L878" s="734">
        <v>5966416</v>
      </c>
      <c r="M878" s="729">
        <f t="shared" si="83"/>
        <v>-81556.541787671857</v>
      </c>
      <c r="N878" s="734">
        <v>5966416</v>
      </c>
      <c r="O878" s="729">
        <f t="shared" si="84"/>
        <v>-81556.541787671857</v>
      </c>
      <c r="P878" s="729">
        <f t="shared" si="85"/>
        <v>0</v>
      </c>
      <c r="Q878" s="677"/>
    </row>
    <row r="879" spans="1:17">
      <c r="B879" s="334"/>
      <c r="C879" s="725">
        <f>IF(D870="","-",+C878+1)</f>
        <v>2019</v>
      </c>
      <c r="D879" s="1282">
        <f t="shared" si="86"/>
        <v>46498419.796610169</v>
      </c>
      <c r="E879" s="732">
        <f t="shared" si="87"/>
        <v>822980.88135593222</v>
      </c>
      <c r="F879" s="732">
        <f t="shared" si="80"/>
        <v>45675438.915254235</v>
      </c>
      <c r="G879" s="676">
        <f t="shared" si="81"/>
        <v>46086929.355932206</v>
      </c>
      <c r="H879" s="726">
        <f>+J871*G879+E879</f>
        <v>5796054.5708990581</v>
      </c>
      <c r="I879" s="733">
        <f>+J872*G879+E879</f>
        <v>5796054.5708990581</v>
      </c>
      <c r="J879" s="729">
        <f t="shared" si="82"/>
        <v>0</v>
      </c>
      <c r="K879" s="729"/>
      <c r="L879" s="734">
        <v>0</v>
      </c>
      <c r="M879" s="729">
        <f t="shared" si="83"/>
        <v>0</v>
      </c>
      <c r="N879" s="734">
        <v>0</v>
      </c>
      <c r="O879" s="729">
        <f t="shared" si="84"/>
        <v>0</v>
      </c>
      <c r="P879" s="729">
        <f t="shared" si="85"/>
        <v>0</v>
      </c>
      <c r="Q879" s="677"/>
    </row>
    <row r="880" spans="1:17">
      <c r="B880" s="334"/>
      <c r="C880" s="725">
        <f>IF(D870="","-",+C879+1)</f>
        <v>2020</v>
      </c>
      <c r="D880" s="1282">
        <f t="shared" si="86"/>
        <v>45675438.915254235</v>
      </c>
      <c r="E880" s="732">
        <f t="shared" si="87"/>
        <v>822980.88135593222</v>
      </c>
      <c r="F880" s="732">
        <f t="shared" si="80"/>
        <v>44852458.033898301</v>
      </c>
      <c r="G880" s="676">
        <f t="shared" si="81"/>
        <v>45263948.474576265</v>
      </c>
      <c r="H880" s="726">
        <f>+J871*G880+E880</f>
        <v>5707249.6835857872</v>
      </c>
      <c r="I880" s="733">
        <f>+J872*G880+E880</f>
        <v>5707249.6835857872</v>
      </c>
      <c r="J880" s="729">
        <f t="shared" si="82"/>
        <v>0</v>
      </c>
      <c r="K880" s="729"/>
      <c r="L880" s="734">
        <v>0</v>
      </c>
      <c r="M880" s="729">
        <f t="shared" si="83"/>
        <v>0</v>
      </c>
      <c r="N880" s="734">
        <v>0</v>
      </c>
      <c r="O880" s="729">
        <f t="shared" si="84"/>
        <v>0</v>
      </c>
      <c r="P880" s="729">
        <f t="shared" si="85"/>
        <v>0</v>
      </c>
      <c r="Q880" s="677"/>
    </row>
    <row r="881" spans="2:17">
      <c r="B881" s="334"/>
      <c r="C881" s="725">
        <f>IF(D870="","-",+C880+1)</f>
        <v>2021</v>
      </c>
      <c r="D881" s="676">
        <f t="shared" si="86"/>
        <v>44852458.033898301</v>
      </c>
      <c r="E881" s="732">
        <f t="shared" si="87"/>
        <v>822980.88135593222</v>
      </c>
      <c r="F881" s="732">
        <f t="shared" si="80"/>
        <v>44029477.152542368</v>
      </c>
      <c r="G881" s="676">
        <f t="shared" si="81"/>
        <v>44440967.593220338</v>
      </c>
      <c r="H881" s="726">
        <f>+J871*G881+E881</f>
        <v>5618444.7962725181</v>
      </c>
      <c r="I881" s="733">
        <f>+J872*G881+E881</f>
        <v>5618444.7962725181</v>
      </c>
      <c r="J881" s="729">
        <f t="shared" si="82"/>
        <v>0</v>
      </c>
      <c r="K881" s="729"/>
      <c r="L881" s="734">
        <v>0</v>
      </c>
      <c r="M881" s="729">
        <f t="shared" si="83"/>
        <v>0</v>
      </c>
      <c r="N881" s="734">
        <v>0</v>
      </c>
      <c r="O881" s="729">
        <f t="shared" si="84"/>
        <v>0</v>
      </c>
      <c r="P881" s="729">
        <f t="shared" si="85"/>
        <v>0</v>
      </c>
      <c r="Q881" s="677"/>
    </row>
    <row r="882" spans="2:17">
      <c r="B882" s="334"/>
      <c r="C882" s="725">
        <f>IF(D870="","-",+C881+1)</f>
        <v>2022</v>
      </c>
      <c r="D882" s="676">
        <f t="shared" si="86"/>
        <v>44029477.152542368</v>
      </c>
      <c r="E882" s="732">
        <f t="shared" si="87"/>
        <v>822980.88135593222</v>
      </c>
      <c r="F882" s="732">
        <f t="shared" si="80"/>
        <v>43206496.271186434</v>
      </c>
      <c r="G882" s="676">
        <f t="shared" si="81"/>
        <v>43617986.711864397</v>
      </c>
      <c r="H882" s="726">
        <f>+J871*G882+E882</f>
        <v>5529639.9089592472</v>
      </c>
      <c r="I882" s="733">
        <f>+J872*G882+E882</f>
        <v>5529639.9089592472</v>
      </c>
      <c r="J882" s="729">
        <f t="shared" si="82"/>
        <v>0</v>
      </c>
      <c r="K882" s="729"/>
      <c r="L882" s="734">
        <v>0</v>
      </c>
      <c r="M882" s="729">
        <f t="shared" si="83"/>
        <v>0</v>
      </c>
      <c r="N882" s="734">
        <v>0</v>
      </c>
      <c r="O882" s="729">
        <f t="shared" si="84"/>
        <v>0</v>
      </c>
      <c r="P882" s="729">
        <f t="shared" si="85"/>
        <v>0</v>
      </c>
      <c r="Q882" s="677"/>
    </row>
    <row r="883" spans="2:17">
      <c r="B883" s="334"/>
      <c r="C883" s="725">
        <f>IF(D870="","-",+C882+1)</f>
        <v>2023</v>
      </c>
      <c r="D883" s="676">
        <f t="shared" si="86"/>
        <v>43206496.271186434</v>
      </c>
      <c r="E883" s="732">
        <f t="shared" si="87"/>
        <v>822980.88135593222</v>
      </c>
      <c r="F883" s="732">
        <f t="shared" si="80"/>
        <v>42383515.3898305</v>
      </c>
      <c r="G883" s="676">
        <f t="shared" si="81"/>
        <v>42795005.830508471</v>
      </c>
      <c r="H883" s="726">
        <f>+J871*G883+E883</f>
        <v>5440835.0216459772</v>
      </c>
      <c r="I883" s="733">
        <f>+J872*G883+E883</f>
        <v>5440835.0216459772</v>
      </c>
      <c r="J883" s="729">
        <f t="shared" si="82"/>
        <v>0</v>
      </c>
      <c r="K883" s="729"/>
      <c r="L883" s="734">
        <v>0</v>
      </c>
      <c r="M883" s="729">
        <f t="shared" si="83"/>
        <v>0</v>
      </c>
      <c r="N883" s="734">
        <v>0</v>
      </c>
      <c r="O883" s="729">
        <f t="shared" si="84"/>
        <v>0</v>
      </c>
      <c r="P883" s="729">
        <f t="shared" si="85"/>
        <v>0</v>
      </c>
      <c r="Q883" s="677"/>
    </row>
    <row r="884" spans="2:17">
      <c r="B884" s="334"/>
      <c r="C884" s="725">
        <f>IF(D870="","-",+C883+1)</f>
        <v>2024</v>
      </c>
      <c r="D884" s="676">
        <f t="shared" si="86"/>
        <v>42383515.3898305</v>
      </c>
      <c r="E884" s="732">
        <f t="shared" si="87"/>
        <v>822980.88135593222</v>
      </c>
      <c r="F884" s="732">
        <f t="shared" si="80"/>
        <v>41560534.508474566</v>
      </c>
      <c r="G884" s="676">
        <f t="shared" si="81"/>
        <v>41972024.949152529</v>
      </c>
      <c r="H884" s="726">
        <f>+J871*G884+E884</f>
        <v>5352030.1343327062</v>
      </c>
      <c r="I884" s="733">
        <f>+J872*G884+E884</f>
        <v>5352030.1343327062</v>
      </c>
      <c r="J884" s="729">
        <f t="shared" si="82"/>
        <v>0</v>
      </c>
      <c r="K884" s="729"/>
      <c r="L884" s="734">
        <v>0</v>
      </c>
      <c r="M884" s="729">
        <f t="shared" si="83"/>
        <v>0</v>
      </c>
      <c r="N884" s="734">
        <v>0</v>
      </c>
      <c r="O884" s="729">
        <f t="shared" si="84"/>
        <v>0</v>
      </c>
      <c r="P884" s="729">
        <f t="shared" si="85"/>
        <v>0</v>
      </c>
      <c r="Q884" s="677"/>
    </row>
    <row r="885" spans="2:17">
      <c r="B885" s="334"/>
      <c r="C885" s="725">
        <f>IF(D870="","-",+C884+1)</f>
        <v>2025</v>
      </c>
      <c r="D885" s="676">
        <f t="shared" si="86"/>
        <v>41560534.508474566</v>
      </c>
      <c r="E885" s="732">
        <f t="shared" si="87"/>
        <v>822980.88135593222</v>
      </c>
      <c r="F885" s="732">
        <f t="shared" si="80"/>
        <v>40737553.627118632</v>
      </c>
      <c r="G885" s="676">
        <f t="shared" si="81"/>
        <v>41149044.067796603</v>
      </c>
      <c r="H885" s="726">
        <f>+J871*G885+E885</f>
        <v>5263225.2470194371</v>
      </c>
      <c r="I885" s="733">
        <f>+J872*G885+E885</f>
        <v>5263225.2470194371</v>
      </c>
      <c r="J885" s="729">
        <f t="shared" si="82"/>
        <v>0</v>
      </c>
      <c r="K885" s="729"/>
      <c r="L885" s="734">
        <v>0</v>
      </c>
      <c r="M885" s="729">
        <f t="shared" si="83"/>
        <v>0</v>
      </c>
      <c r="N885" s="734">
        <v>0</v>
      </c>
      <c r="O885" s="729">
        <f t="shared" si="84"/>
        <v>0</v>
      </c>
      <c r="P885" s="729">
        <f t="shared" si="85"/>
        <v>0</v>
      </c>
      <c r="Q885" s="677"/>
    </row>
    <row r="886" spans="2:17">
      <c r="B886" s="334"/>
      <c r="C886" s="725">
        <f>IF(D870="","-",+C885+1)</f>
        <v>2026</v>
      </c>
      <c r="D886" s="676">
        <f t="shared" si="86"/>
        <v>40737553.627118632</v>
      </c>
      <c r="E886" s="732">
        <f t="shared" si="87"/>
        <v>822980.88135593222</v>
      </c>
      <c r="F886" s="732">
        <f t="shared" si="80"/>
        <v>39914572.745762698</v>
      </c>
      <c r="G886" s="676">
        <f t="shared" si="81"/>
        <v>40326063.186440662</v>
      </c>
      <c r="H886" s="726">
        <f>+J871*G886+E886</f>
        <v>5174420.3597061662</v>
      </c>
      <c r="I886" s="733">
        <f>+J872*G886+E886</f>
        <v>5174420.3597061662</v>
      </c>
      <c r="J886" s="729">
        <f t="shared" si="82"/>
        <v>0</v>
      </c>
      <c r="K886" s="729"/>
      <c r="L886" s="734">
        <v>0</v>
      </c>
      <c r="M886" s="729">
        <f t="shared" si="83"/>
        <v>0</v>
      </c>
      <c r="N886" s="734">
        <v>0</v>
      </c>
      <c r="O886" s="729">
        <f t="shared" si="84"/>
        <v>0</v>
      </c>
      <c r="P886" s="729">
        <f t="shared" si="85"/>
        <v>0</v>
      </c>
      <c r="Q886" s="677"/>
    </row>
    <row r="887" spans="2:17">
      <c r="B887" s="334"/>
      <c r="C887" s="725">
        <f>IF(D870="","-",+C886+1)</f>
        <v>2027</v>
      </c>
      <c r="D887" s="676">
        <f t="shared" si="86"/>
        <v>39914572.745762698</v>
      </c>
      <c r="E887" s="732">
        <f t="shared" si="87"/>
        <v>822980.88135593222</v>
      </c>
      <c r="F887" s="732">
        <f t="shared" si="80"/>
        <v>39091591.864406765</v>
      </c>
      <c r="G887" s="676">
        <f t="shared" si="81"/>
        <v>39503082.305084735</v>
      </c>
      <c r="H887" s="726">
        <f>+J871*G887+E887</f>
        <v>5085615.4723928962</v>
      </c>
      <c r="I887" s="733">
        <f>+J872*G887+E887</f>
        <v>5085615.4723928962</v>
      </c>
      <c r="J887" s="729">
        <f t="shared" si="82"/>
        <v>0</v>
      </c>
      <c r="K887" s="729"/>
      <c r="L887" s="734"/>
      <c r="M887" s="729">
        <f t="shared" si="83"/>
        <v>0</v>
      </c>
      <c r="N887" s="734"/>
      <c r="O887" s="729">
        <f t="shared" si="84"/>
        <v>0</v>
      </c>
      <c r="P887" s="729">
        <f t="shared" si="85"/>
        <v>0</v>
      </c>
      <c r="Q887" s="677"/>
    </row>
    <row r="888" spans="2:17">
      <c r="B888" s="334"/>
      <c r="C888" s="725">
        <f>IF(D870="","-",+C887+1)</f>
        <v>2028</v>
      </c>
      <c r="D888" s="676">
        <f t="shared" si="86"/>
        <v>39091591.864406765</v>
      </c>
      <c r="E888" s="732">
        <f t="shared" si="87"/>
        <v>822980.88135593222</v>
      </c>
      <c r="F888" s="732">
        <f t="shared" si="80"/>
        <v>38268610.983050831</v>
      </c>
      <c r="G888" s="676">
        <f t="shared" si="81"/>
        <v>38680101.423728794</v>
      </c>
      <c r="H888" s="726">
        <f>+J871*G888+E888</f>
        <v>4996810.5850796252</v>
      </c>
      <c r="I888" s="733">
        <f>+J872*G888+E888</f>
        <v>4996810.5850796252</v>
      </c>
      <c r="J888" s="729">
        <f t="shared" si="82"/>
        <v>0</v>
      </c>
      <c r="K888" s="729"/>
      <c r="L888" s="734"/>
      <c r="M888" s="729">
        <f t="shared" si="83"/>
        <v>0</v>
      </c>
      <c r="N888" s="734"/>
      <c r="O888" s="729">
        <f t="shared" si="84"/>
        <v>0</v>
      </c>
      <c r="P888" s="729">
        <f t="shared" si="85"/>
        <v>0</v>
      </c>
      <c r="Q888" s="677"/>
    </row>
    <row r="889" spans="2:17">
      <c r="B889" s="334"/>
      <c r="C889" s="725">
        <f>IF(D870="","-",+C888+1)</f>
        <v>2029</v>
      </c>
      <c r="D889" s="676">
        <f t="shared" si="86"/>
        <v>38268610.983050831</v>
      </c>
      <c r="E889" s="732">
        <f t="shared" si="87"/>
        <v>822980.88135593222</v>
      </c>
      <c r="F889" s="732">
        <f t="shared" si="80"/>
        <v>37445630.101694897</v>
      </c>
      <c r="G889" s="676">
        <f t="shared" si="81"/>
        <v>37857120.542372867</v>
      </c>
      <c r="H889" s="726">
        <f>+J871*G889+E889</f>
        <v>4908005.6977663562</v>
      </c>
      <c r="I889" s="733">
        <f>+J872*G889+E889</f>
        <v>4908005.6977663562</v>
      </c>
      <c r="J889" s="729">
        <f t="shared" si="82"/>
        <v>0</v>
      </c>
      <c r="K889" s="729"/>
      <c r="L889" s="734"/>
      <c r="M889" s="729">
        <f t="shared" si="83"/>
        <v>0</v>
      </c>
      <c r="N889" s="734"/>
      <c r="O889" s="729">
        <f t="shared" si="84"/>
        <v>0</v>
      </c>
      <c r="P889" s="729">
        <f t="shared" si="85"/>
        <v>0</v>
      </c>
      <c r="Q889" s="677"/>
    </row>
    <row r="890" spans="2:17">
      <c r="B890" s="334"/>
      <c r="C890" s="725">
        <f>IF(D870="","-",+C889+1)</f>
        <v>2030</v>
      </c>
      <c r="D890" s="676">
        <f t="shared" si="86"/>
        <v>37445630.101694897</v>
      </c>
      <c r="E890" s="732">
        <f t="shared" si="87"/>
        <v>822980.88135593222</v>
      </c>
      <c r="F890" s="732">
        <f t="shared" si="80"/>
        <v>36622649.220338963</v>
      </c>
      <c r="G890" s="676">
        <f t="shared" si="81"/>
        <v>37034139.661016926</v>
      </c>
      <c r="H890" s="726">
        <f>+J871*G890+E890</f>
        <v>4819200.8104530852</v>
      </c>
      <c r="I890" s="733">
        <f>+J872*G890+E890</f>
        <v>4819200.8104530852</v>
      </c>
      <c r="J890" s="729">
        <f t="shared" si="82"/>
        <v>0</v>
      </c>
      <c r="K890" s="729"/>
      <c r="L890" s="734"/>
      <c r="M890" s="729">
        <f t="shared" si="83"/>
        <v>0</v>
      </c>
      <c r="N890" s="734"/>
      <c r="O890" s="729">
        <f t="shared" si="84"/>
        <v>0</v>
      </c>
      <c r="P890" s="729">
        <f t="shared" si="85"/>
        <v>0</v>
      </c>
      <c r="Q890" s="677"/>
    </row>
    <row r="891" spans="2:17">
      <c r="B891" s="334"/>
      <c r="C891" s="725">
        <f>IF(D870="","-",+C890+1)</f>
        <v>2031</v>
      </c>
      <c r="D891" s="676">
        <f t="shared" si="86"/>
        <v>36622649.220338963</v>
      </c>
      <c r="E891" s="732">
        <f t="shared" si="87"/>
        <v>822980.88135593222</v>
      </c>
      <c r="F891" s="732">
        <f t="shared" si="80"/>
        <v>35799668.338983029</v>
      </c>
      <c r="G891" s="676">
        <f t="shared" si="81"/>
        <v>36211158.779661</v>
      </c>
      <c r="H891" s="726">
        <f>+J871*G891+E891</f>
        <v>4730395.9231398152</v>
      </c>
      <c r="I891" s="733">
        <f>+J872*G891+E891</f>
        <v>4730395.9231398152</v>
      </c>
      <c r="J891" s="729">
        <f t="shared" si="82"/>
        <v>0</v>
      </c>
      <c r="K891" s="729"/>
      <c r="L891" s="734"/>
      <c r="M891" s="729">
        <f t="shared" si="83"/>
        <v>0</v>
      </c>
      <c r="N891" s="734"/>
      <c r="O891" s="729">
        <f t="shared" si="84"/>
        <v>0</v>
      </c>
      <c r="P891" s="729">
        <f t="shared" si="85"/>
        <v>0</v>
      </c>
      <c r="Q891" s="677"/>
    </row>
    <row r="892" spans="2:17">
      <c r="B892" s="334"/>
      <c r="C892" s="725">
        <f>IF(D870="","-",+C891+1)</f>
        <v>2032</v>
      </c>
      <c r="D892" s="676">
        <f t="shared" si="86"/>
        <v>35799668.338983029</v>
      </c>
      <c r="E892" s="732">
        <f t="shared" si="87"/>
        <v>822980.88135593222</v>
      </c>
      <c r="F892" s="732">
        <f t="shared" si="80"/>
        <v>34976687.457627095</v>
      </c>
      <c r="G892" s="676">
        <f t="shared" si="81"/>
        <v>35388177.898305058</v>
      </c>
      <c r="H892" s="726">
        <f>+J871*G892+E892</f>
        <v>4641591.0358265443</v>
      </c>
      <c r="I892" s="733">
        <f>+J872*G892+E892</f>
        <v>4641591.0358265443</v>
      </c>
      <c r="J892" s="729">
        <f t="shared" si="82"/>
        <v>0</v>
      </c>
      <c r="K892" s="729"/>
      <c r="L892" s="734"/>
      <c r="M892" s="729">
        <f t="shared" si="83"/>
        <v>0</v>
      </c>
      <c r="N892" s="734"/>
      <c r="O892" s="729">
        <f t="shared" si="84"/>
        <v>0</v>
      </c>
      <c r="P892" s="729">
        <f t="shared" si="85"/>
        <v>0</v>
      </c>
      <c r="Q892" s="677"/>
    </row>
    <row r="893" spans="2:17">
      <c r="B893" s="334"/>
      <c r="C893" s="725">
        <f>IF(D870="","-",+C892+1)</f>
        <v>2033</v>
      </c>
      <c r="D893" s="676">
        <f t="shared" si="86"/>
        <v>34976687.457627095</v>
      </c>
      <c r="E893" s="732">
        <f t="shared" si="87"/>
        <v>822980.88135593222</v>
      </c>
      <c r="F893" s="732">
        <f t="shared" si="80"/>
        <v>34153706.576271161</v>
      </c>
      <c r="G893" s="676">
        <f t="shared" si="81"/>
        <v>34565197.016949132</v>
      </c>
      <c r="H893" s="726">
        <f>+J871*G893+E893</f>
        <v>4552786.1485132752</v>
      </c>
      <c r="I893" s="733">
        <f>+J872*G893+E893</f>
        <v>4552786.1485132752</v>
      </c>
      <c r="J893" s="729">
        <f t="shared" si="82"/>
        <v>0</v>
      </c>
      <c r="K893" s="729"/>
      <c r="L893" s="734"/>
      <c r="M893" s="729">
        <f t="shared" si="83"/>
        <v>0</v>
      </c>
      <c r="N893" s="734"/>
      <c r="O893" s="729">
        <f t="shared" si="84"/>
        <v>0</v>
      </c>
      <c r="P893" s="729">
        <f t="shared" si="85"/>
        <v>0</v>
      </c>
      <c r="Q893" s="677"/>
    </row>
    <row r="894" spans="2:17">
      <c r="B894" s="334"/>
      <c r="C894" s="725">
        <f>IF(D870="","-",+C893+1)</f>
        <v>2034</v>
      </c>
      <c r="D894" s="676">
        <f t="shared" si="86"/>
        <v>34153706.576271161</v>
      </c>
      <c r="E894" s="732">
        <f t="shared" si="87"/>
        <v>822980.88135593222</v>
      </c>
      <c r="F894" s="732">
        <f t="shared" si="80"/>
        <v>33330725.694915228</v>
      </c>
      <c r="G894" s="676">
        <f t="shared" si="81"/>
        <v>33742216.135593191</v>
      </c>
      <c r="H894" s="726">
        <f>+J871*G894+E894</f>
        <v>4463981.2612000033</v>
      </c>
      <c r="I894" s="733">
        <f>+J872*G894+E894</f>
        <v>4463981.2612000033</v>
      </c>
      <c r="J894" s="729">
        <f t="shared" si="82"/>
        <v>0</v>
      </c>
      <c r="K894" s="729"/>
      <c r="L894" s="734"/>
      <c r="M894" s="729">
        <f t="shared" si="83"/>
        <v>0</v>
      </c>
      <c r="N894" s="734"/>
      <c r="O894" s="729">
        <f t="shared" si="84"/>
        <v>0</v>
      </c>
      <c r="P894" s="729">
        <f t="shared" si="85"/>
        <v>0</v>
      </c>
      <c r="Q894" s="677"/>
    </row>
    <row r="895" spans="2:17">
      <c r="B895" s="334"/>
      <c r="C895" s="725">
        <f>IF(D870="","-",+C894+1)</f>
        <v>2035</v>
      </c>
      <c r="D895" s="676">
        <f t="shared" si="86"/>
        <v>33330725.694915228</v>
      </c>
      <c r="E895" s="732">
        <f t="shared" si="87"/>
        <v>822980.88135593222</v>
      </c>
      <c r="F895" s="732">
        <f t="shared" si="80"/>
        <v>32507744.813559294</v>
      </c>
      <c r="G895" s="676">
        <f t="shared" si="81"/>
        <v>32919235.254237261</v>
      </c>
      <c r="H895" s="726">
        <f>+J871*G895+E895</f>
        <v>4375176.3738867333</v>
      </c>
      <c r="I895" s="733">
        <f>+J872*G895+E895</f>
        <v>4375176.3738867333</v>
      </c>
      <c r="J895" s="729">
        <f t="shared" si="82"/>
        <v>0</v>
      </c>
      <c r="K895" s="729"/>
      <c r="L895" s="734"/>
      <c r="M895" s="729">
        <f t="shared" si="83"/>
        <v>0</v>
      </c>
      <c r="N895" s="734"/>
      <c r="O895" s="729">
        <f t="shared" si="84"/>
        <v>0</v>
      </c>
      <c r="P895" s="729">
        <f t="shared" si="85"/>
        <v>0</v>
      </c>
      <c r="Q895" s="677"/>
    </row>
    <row r="896" spans="2:17">
      <c r="B896" s="334"/>
      <c r="C896" s="725">
        <f>IF(D870="","-",+C895+1)</f>
        <v>2036</v>
      </c>
      <c r="D896" s="676">
        <f t="shared" si="86"/>
        <v>32507744.813559294</v>
      </c>
      <c r="E896" s="732">
        <f t="shared" si="87"/>
        <v>822980.88135593222</v>
      </c>
      <c r="F896" s="732">
        <f t="shared" si="80"/>
        <v>31684763.93220336</v>
      </c>
      <c r="G896" s="676">
        <f t="shared" si="81"/>
        <v>32096254.372881327</v>
      </c>
      <c r="H896" s="726">
        <f>+J871*G896+E896</f>
        <v>4286371.4865734633</v>
      </c>
      <c r="I896" s="733">
        <f>+J872*G896+E896</f>
        <v>4286371.4865734633</v>
      </c>
      <c r="J896" s="729">
        <f t="shared" si="82"/>
        <v>0</v>
      </c>
      <c r="K896" s="729"/>
      <c r="L896" s="734"/>
      <c r="M896" s="729">
        <f t="shared" si="83"/>
        <v>0</v>
      </c>
      <c r="N896" s="734"/>
      <c r="O896" s="729">
        <f t="shared" si="84"/>
        <v>0</v>
      </c>
      <c r="P896" s="729">
        <f t="shared" si="85"/>
        <v>0</v>
      </c>
      <c r="Q896" s="677"/>
    </row>
    <row r="897" spans="2:17">
      <c r="B897" s="334"/>
      <c r="C897" s="725">
        <f>IF(D870="","-",+C896+1)</f>
        <v>2037</v>
      </c>
      <c r="D897" s="676">
        <f t="shared" si="86"/>
        <v>31684763.93220336</v>
      </c>
      <c r="E897" s="732">
        <f t="shared" si="87"/>
        <v>822980.88135593222</v>
      </c>
      <c r="F897" s="732">
        <f t="shared" si="80"/>
        <v>30861783.050847426</v>
      </c>
      <c r="G897" s="676">
        <f t="shared" si="81"/>
        <v>31273273.491525393</v>
      </c>
      <c r="H897" s="726">
        <f>+J871*G897+E897</f>
        <v>4197566.5992601933</v>
      </c>
      <c r="I897" s="733">
        <f>+J872*G897+E897</f>
        <v>4197566.5992601933</v>
      </c>
      <c r="J897" s="729">
        <f t="shared" si="82"/>
        <v>0</v>
      </c>
      <c r="K897" s="729"/>
      <c r="L897" s="734"/>
      <c r="M897" s="729">
        <f t="shared" si="83"/>
        <v>0</v>
      </c>
      <c r="N897" s="734"/>
      <c r="O897" s="729">
        <f t="shared" si="84"/>
        <v>0</v>
      </c>
      <c r="P897" s="729">
        <f t="shared" si="85"/>
        <v>0</v>
      </c>
      <c r="Q897" s="677"/>
    </row>
    <row r="898" spans="2:17">
      <c r="B898" s="334"/>
      <c r="C898" s="725">
        <f>IF(D870="","-",+C897+1)</f>
        <v>2038</v>
      </c>
      <c r="D898" s="676">
        <f t="shared" si="86"/>
        <v>30861783.050847426</v>
      </c>
      <c r="E898" s="732">
        <f t="shared" si="87"/>
        <v>822980.88135593222</v>
      </c>
      <c r="F898" s="732">
        <f t="shared" si="80"/>
        <v>30038802.169491492</v>
      </c>
      <c r="G898" s="676">
        <f t="shared" si="81"/>
        <v>30450292.610169459</v>
      </c>
      <c r="H898" s="726">
        <f>+J871*G898+E898</f>
        <v>4108761.7119469233</v>
      </c>
      <c r="I898" s="733">
        <f>+J872*G898+E898</f>
        <v>4108761.7119469233</v>
      </c>
      <c r="J898" s="729">
        <f t="shared" si="82"/>
        <v>0</v>
      </c>
      <c r="K898" s="729"/>
      <c r="L898" s="734"/>
      <c r="M898" s="729">
        <f t="shared" si="83"/>
        <v>0</v>
      </c>
      <c r="N898" s="734"/>
      <c r="O898" s="729">
        <f t="shared" si="84"/>
        <v>0</v>
      </c>
      <c r="P898" s="729">
        <f t="shared" si="85"/>
        <v>0</v>
      </c>
      <c r="Q898" s="677"/>
    </row>
    <row r="899" spans="2:17">
      <c r="B899" s="334"/>
      <c r="C899" s="725">
        <f>IF(D870="","-",+C898+1)</f>
        <v>2039</v>
      </c>
      <c r="D899" s="676">
        <f t="shared" si="86"/>
        <v>30038802.169491492</v>
      </c>
      <c r="E899" s="732">
        <f t="shared" si="87"/>
        <v>822980.88135593222</v>
      </c>
      <c r="F899" s="732">
        <f t="shared" si="80"/>
        <v>29215821.288135558</v>
      </c>
      <c r="G899" s="676">
        <f t="shared" si="81"/>
        <v>29627311.728813525</v>
      </c>
      <c r="H899" s="726">
        <f>+J871*G899+E899</f>
        <v>4019956.8246336523</v>
      </c>
      <c r="I899" s="733">
        <f>+J872*G899+E899</f>
        <v>4019956.8246336523</v>
      </c>
      <c r="J899" s="729">
        <f t="shared" si="82"/>
        <v>0</v>
      </c>
      <c r="K899" s="729"/>
      <c r="L899" s="734"/>
      <c r="M899" s="729">
        <f t="shared" si="83"/>
        <v>0</v>
      </c>
      <c r="N899" s="734"/>
      <c r="O899" s="729">
        <f t="shared" si="84"/>
        <v>0</v>
      </c>
      <c r="P899" s="729">
        <f t="shared" si="85"/>
        <v>0</v>
      </c>
      <c r="Q899" s="677"/>
    </row>
    <row r="900" spans="2:17">
      <c r="B900" s="334"/>
      <c r="C900" s="725">
        <f>IF(D870="","-",+C899+1)</f>
        <v>2040</v>
      </c>
      <c r="D900" s="676">
        <f t="shared" si="86"/>
        <v>29215821.288135558</v>
      </c>
      <c r="E900" s="732">
        <f t="shared" si="87"/>
        <v>822980.88135593222</v>
      </c>
      <c r="F900" s="732">
        <f t="shared" si="80"/>
        <v>28392840.406779625</v>
      </c>
      <c r="G900" s="676">
        <f t="shared" si="81"/>
        <v>28804330.847457591</v>
      </c>
      <c r="H900" s="726">
        <f>+J871*G900+E900</f>
        <v>3931151.9373203823</v>
      </c>
      <c r="I900" s="733">
        <f>+J872*G900+E900</f>
        <v>3931151.9373203823</v>
      </c>
      <c r="J900" s="729">
        <f t="shared" si="82"/>
        <v>0</v>
      </c>
      <c r="K900" s="729"/>
      <c r="L900" s="734"/>
      <c r="M900" s="729">
        <f t="shared" si="83"/>
        <v>0</v>
      </c>
      <c r="N900" s="734"/>
      <c r="O900" s="729">
        <f t="shared" si="84"/>
        <v>0</v>
      </c>
      <c r="P900" s="729">
        <f t="shared" si="85"/>
        <v>0</v>
      </c>
      <c r="Q900" s="677"/>
    </row>
    <row r="901" spans="2:17">
      <c r="B901" s="334"/>
      <c r="C901" s="725">
        <f>IF(D870="","-",+C900+1)</f>
        <v>2041</v>
      </c>
      <c r="D901" s="676">
        <f t="shared" si="86"/>
        <v>28392840.406779625</v>
      </c>
      <c r="E901" s="732">
        <f t="shared" si="87"/>
        <v>822980.88135593222</v>
      </c>
      <c r="F901" s="732">
        <f t="shared" si="80"/>
        <v>27569859.525423691</v>
      </c>
      <c r="G901" s="676">
        <f t="shared" si="81"/>
        <v>27981349.966101658</v>
      </c>
      <c r="H901" s="726">
        <f>+J871*G901+E901</f>
        <v>3842347.0500071123</v>
      </c>
      <c r="I901" s="733">
        <f>+J872*G901+E901</f>
        <v>3842347.0500071123</v>
      </c>
      <c r="J901" s="729">
        <f t="shared" si="82"/>
        <v>0</v>
      </c>
      <c r="K901" s="729"/>
      <c r="L901" s="734"/>
      <c r="M901" s="729">
        <f t="shared" si="83"/>
        <v>0</v>
      </c>
      <c r="N901" s="734"/>
      <c r="O901" s="729">
        <f t="shared" si="84"/>
        <v>0</v>
      </c>
      <c r="P901" s="729">
        <f t="shared" si="85"/>
        <v>0</v>
      </c>
      <c r="Q901" s="677"/>
    </row>
    <row r="902" spans="2:17">
      <c r="B902" s="334"/>
      <c r="C902" s="725">
        <f>IF(D870="","-",+C901+1)</f>
        <v>2042</v>
      </c>
      <c r="D902" s="676">
        <f t="shared" si="86"/>
        <v>27569859.525423691</v>
      </c>
      <c r="E902" s="732">
        <f t="shared" si="87"/>
        <v>822980.88135593222</v>
      </c>
      <c r="F902" s="732">
        <f t="shared" si="80"/>
        <v>26746878.644067757</v>
      </c>
      <c r="G902" s="676">
        <f t="shared" si="81"/>
        <v>27158369.084745724</v>
      </c>
      <c r="H902" s="726">
        <f>+J871*G902+E902</f>
        <v>3753542.1626938414</v>
      </c>
      <c r="I902" s="733">
        <f>+J872*G902+E902</f>
        <v>3753542.1626938414</v>
      </c>
      <c r="J902" s="729">
        <f t="shared" si="82"/>
        <v>0</v>
      </c>
      <c r="K902" s="729"/>
      <c r="L902" s="734"/>
      <c r="M902" s="729">
        <f t="shared" si="83"/>
        <v>0</v>
      </c>
      <c r="N902" s="734"/>
      <c r="O902" s="729">
        <f t="shared" si="84"/>
        <v>0</v>
      </c>
      <c r="P902" s="729">
        <f t="shared" si="85"/>
        <v>0</v>
      </c>
      <c r="Q902" s="677"/>
    </row>
    <row r="903" spans="2:17">
      <c r="B903" s="334"/>
      <c r="C903" s="725">
        <f>IF(D870="","-",+C902+1)</f>
        <v>2043</v>
      </c>
      <c r="D903" s="676">
        <f t="shared" si="86"/>
        <v>26746878.644067757</v>
      </c>
      <c r="E903" s="732">
        <f t="shared" si="87"/>
        <v>822980.88135593222</v>
      </c>
      <c r="F903" s="732">
        <f t="shared" si="80"/>
        <v>25923897.762711823</v>
      </c>
      <c r="G903" s="676">
        <f t="shared" si="81"/>
        <v>26335388.20338979</v>
      </c>
      <c r="H903" s="726">
        <f>+J871*G903+E903</f>
        <v>3664737.2753805714</v>
      </c>
      <c r="I903" s="733">
        <f>+J872*G903+E903</f>
        <v>3664737.2753805714</v>
      </c>
      <c r="J903" s="729">
        <f t="shared" si="82"/>
        <v>0</v>
      </c>
      <c r="K903" s="729"/>
      <c r="L903" s="734"/>
      <c r="M903" s="729">
        <f t="shared" si="83"/>
        <v>0</v>
      </c>
      <c r="N903" s="734"/>
      <c r="O903" s="729">
        <f t="shared" si="84"/>
        <v>0</v>
      </c>
      <c r="P903" s="729">
        <f t="shared" si="85"/>
        <v>0</v>
      </c>
      <c r="Q903" s="677"/>
    </row>
    <row r="904" spans="2:17">
      <c r="B904" s="334"/>
      <c r="C904" s="725">
        <f>IF(D870="","-",+C903+1)</f>
        <v>2044</v>
      </c>
      <c r="D904" s="676">
        <f t="shared" si="86"/>
        <v>25923897.762711823</v>
      </c>
      <c r="E904" s="732">
        <f t="shared" si="87"/>
        <v>822980.88135593222</v>
      </c>
      <c r="F904" s="732">
        <f t="shared" si="80"/>
        <v>25100916.881355889</v>
      </c>
      <c r="G904" s="676">
        <f t="shared" si="81"/>
        <v>25512407.322033856</v>
      </c>
      <c r="H904" s="726">
        <f>+J871*G904+E904</f>
        <v>3575932.3880673014</v>
      </c>
      <c r="I904" s="733">
        <f>+J872*G904+E904</f>
        <v>3575932.3880673014</v>
      </c>
      <c r="J904" s="729">
        <f t="shared" si="82"/>
        <v>0</v>
      </c>
      <c r="K904" s="729"/>
      <c r="L904" s="734"/>
      <c r="M904" s="729">
        <f t="shared" si="83"/>
        <v>0</v>
      </c>
      <c r="N904" s="734"/>
      <c r="O904" s="729">
        <f t="shared" si="84"/>
        <v>0</v>
      </c>
      <c r="P904" s="729">
        <f t="shared" si="85"/>
        <v>0</v>
      </c>
      <c r="Q904" s="677"/>
    </row>
    <row r="905" spans="2:17">
      <c r="B905" s="334"/>
      <c r="C905" s="725">
        <f>IF(D870="","-",+C904+1)</f>
        <v>2045</v>
      </c>
      <c r="D905" s="676">
        <f t="shared" si="86"/>
        <v>25100916.881355889</v>
      </c>
      <c r="E905" s="732">
        <f t="shared" si="87"/>
        <v>822980.88135593222</v>
      </c>
      <c r="F905" s="732">
        <f t="shared" si="80"/>
        <v>24277935.999999955</v>
      </c>
      <c r="G905" s="676">
        <f t="shared" si="81"/>
        <v>24689426.440677922</v>
      </c>
      <c r="H905" s="726">
        <f>+J871*G905+E905</f>
        <v>3487127.5007540304</v>
      </c>
      <c r="I905" s="733">
        <f>+J872*G905+E905</f>
        <v>3487127.5007540304</v>
      </c>
      <c r="J905" s="729">
        <f t="shared" si="82"/>
        <v>0</v>
      </c>
      <c r="K905" s="729"/>
      <c r="L905" s="734"/>
      <c r="M905" s="729">
        <f t="shared" si="83"/>
        <v>0</v>
      </c>
      <c r="N905" s="734"/>
      <c r="O905" s="729">
        <f t="shared" si="84"/>
        <v>0</v>
      </c>
      <c r="P905" s="729">
        <f t="shared" si="85"/>
        <v>0</v>
      </c>
      <c r="Q905" s="677"/>
    </row>
    <row r="906" spans="2:17">
      <c r="B906" s="334"/>
      <c r="C906" s="725">
        <f>IF(D870="","-",+C905+1)</f>
        <v>2046</v>
      </c>
      <c r="D906" s="676">
        <f t="shared" si="86"/>
        <v>24277935.999999955</v>
      </c>
      <c r="E906" s="732">
        <f t="shared" si="87"/>
        <v>822980.88135593222</v>
      </c>
      <c r="F906" s="732">
        <f t="shared" si="80"/>
        <v>23454955.118644021</v>
      </c>
      <c r="G906" s="676">
        <f t="shared" si="81"/>
        <v>23866445.559321988</v>
      </c>
      <c r="H906" s="726">
        <f>+J871*G906+E906</f>
        <v>3398322.6134407604</v>
      </c>
      <c r="I906" s="733">
        <f>+J872*G906+E906</f>
        <v>3398322.6134407604</v>
      </c>
      <c r="J906" s="729">
        <f t="shared" si="82"/>
        <v>0</v>
      </c>
      <c r="K906" s="729"/>
      <c r="L906" s="734"/>
      <c r="M906" s="729">
        <f t="shared" si="83"/>
        <v>0</v>
      </c>
      <c r="N906" s="734"/>
      <c r="O906" s="729">
        <f t="shared" si="84"/>
        <v>0</v>
      </c>
      <c r="P906" s="729">
        <f t="shared" si="85"/>
        <v>0</v>
      </c>
      <c r="Q906" s="677"/>
    </row>
    <row r="907" spans="2:17">
      <c r="B907" s="334"/>
      <c r="C907" s="725">
        <f>IF(D870="","-",+C906+1)</f>
        <v>2047</v>
      </c>
      <c r="D907" s="676">
        <f t="shared" si="86"/>
        <v>23454955.118644021</v>
      </c>
      <c r="E907" s="732">
        <f t="shared" si="87"/>
        <v>822980.88135593222</v>
      </c>
      <c r="F907" s="732">
        <f t="shared" si="80"/>
        <v>22631974.237288088</v>
      </c>
      <c r="G907" s="676">
        <f t="shared" si="81"/>
        <v>23043464.677966055</v>
      </c>
      <c r="H907" s="726">
        <f>+J871*G907+E907</f>
        <v>3309517.7261274904</v>
      </c>
      <c r="I907" s="733">
        <f>+J872*G907+E907</f>
        <v>3309517.7261274904</v>
      </c>
      <c r="J907" s="729">
        <f t="shared" si="82"/>
        <v>0</v>
      </c>
      <c r="K907" s="729"/>
      <c r="L907" s="734"/>
      <c r="M907" s="729">
        <f t="shared" si="83"/>
        <v>0</v>
      </c>
      <c r="N907" s="734"/>
      <c r="O907" s="729">
        <f t="shared" si="84"/>
        <v>0</v>
      </c>
      <c r="P907" s="729">
        <f t="shared" si="85"/>
        <v>0</v>
      </c>
      <c r="Q907" s="677"/>
    </row>
    <row r="908" spans="2:17">
      <c r="B908" s="334"/>
      <c r="C908" s="725">
        <f>IF(D870="","-",+C907+1)</f>
        <v>2048</v>
      </c>
      <c r="D908" s="676">
        <f t="shared" si="86"/>
        <v>22631974.237288088</v>
      </c>
      <c r="E908" s="732">
        <f t="shared" si="87"/>
        <v>822980.88135593222</v>
      </c>
      <c r="F908" s="732">
        <f t="shared" si="80"/>
        <v>21808993.355932154</v>
      </c>
      <c r="G908" s="676">
        <f t="shared" si="81"/>
        <v>22220483.796610121</v>
      </c>
      <c r="H908" s="726">
        <f>+J871*G908+E908</f>
        <v>3220712.8388142204</v>
      </c>
      <c r="I908" s="733">
        <f>+J872*G908+E908</f>
        <v>3220712.8388142204</v>
      </c>
      <c r="J908" s="729">
        <f t="shared" si="82"/>
        <v>0</v>
      </c>
      <c r="K908" s="729"/>
      <c r="L908" s="734"/>
      <c r="M908" s="729">
        <f t="shared" si="83"/>
        <v>0</v>
      </c>
      <c r="N908" s="734"/>
      <c r="O908" s="729">
        <f t="shared" si="84"/>
        <v>0</v>
      </c>
      <c r="P908" s="729">
        <f t="shared" si="85"/>
        <v>0</v>
      </c>
      <c r="Q908" s="677"/>
    </row>
    <row r="909" spans="2:17">
      <c r="B909" s="334"/>
      <c r="C909" s="725">
        <f>IF(D870="","-",+C908+1)</f>
        <v>2049</v>
      </c>
      <c r="D909" s="676">
        <f t="shared" si="86"/>
        <v>21808993.355932154</v>
      </c>
      <c r="E909" s="732">
        <f t="shared" si="87"/>
        <v>822980.88135593222</v>
      </c>
      <c r="F909" s="732">
        <f t="shared" si="80"/>
        <v>20986012.47457622</v>
      </c>
      <c r="G909" s="676">
        <f t="shared" si="81"/>
        <v>21397502.915254187</v>
      </c>
      <c r="H909" s="726">
        <f>+J871*G909+E909</f>
        <v>3131907.9515009494</v>
      </c>
      <c r="I909" s="733">
        <f>+J872*G909+E909</f>
        <v>3131907.9515009494</v>
      </c>
      <c r="J909" s="729">
        <f t="shared" si="82"/>
        <v>0</v>
      </c>
      <c r="K909" s="729"/>
      <c r="L909" s="734"/>
      <c r="M909" s="729">
        <f t="shared" si="83"/>
        <v>0</v>
      </c>
      <c r="N909" s="734"/>
      <c r="O909" s="729">
        <f t="shared" si="84"/>
        <v>0</v>
      </c>
      <c r="P909" s="729">
        <f t="shared" si="85"/>
        <v>0</v>
      </c>
      <c r="Q909" s="677"/>
    </row>
    <row r="910" spans="2:17">
      <c r="B910" s="334"/>
      <c r="C910" s="725">
        <f>IF(D870="","-",+C909+1)</f>
        <v>2050</v>
      </c>
      <c r="D910" s="676">
        <f t="shared" si="86"/>
        <v>20986012.47457622</v>
      </c>
      <c r="E910" s="732">
        <f t="shared" si="87"/>
        <v>822980.88135593222</v>
      </c>
      <c r="F910" s="732">
        <f t="shared" si="80"/>
        <v>20163031.593220286</v>
      </c>
      <c r="G910" s="676">
        <f t="shared" si="81"/>
        <v>20574522.033898253</v>
      </c>
      <c r="H910" s="726">
        <f>+J871*G910+E910</f>
        <v>3043103.0641876794</v>
      </c>
      <c r="I910" s="733">
        <f>+J872*G910+E910</f>
        <v>3043103.0641876794</v>
      </c>
      <c r="J910" s="729">
        <f t="shared" si="82"/>
        <v>0</v>
      </c>
      <c r="K910" s="729"/>
      <c r="L910" s="734"/>
      <c r="M910" s="729">
        <f t="shared" si="83"/>
        <v>0</v>
      </c>
      <c r="N910" s="734"/>
      <c r="O910" s="729">
        <f t="shared" si="84"/>
        <v>0</v>
      </c>
      <c r="P910" s="729">
        <f t="shared" si="85"/>
        <v>0</v>
      </c>
      <c r="Q910" s="677"/>
    </row>
    <row r="911" spans="2:17">
      <c r="B911" s="334"/>
      <c r="C911" s="725">
        <f>IF(D870="","-",+C910+1)</f>
        <v>2051</v>
      </c>
      <c r="D911" s="676">
        <f t="shared" si="86"/>
        <v>20163031.593220286</v>
      </c>
      <c r="E911" s="732">
        <f t="shared" si="87"/>
        <v>822980.88135593222</v>
      </c>
      <c r="F911" s="732">
        <f t="shared" si="80"/>
        <v>19340050.711864352</v>
      </c>
      <c r="G911" s="676">
        <f t="shared" si="81"/>
        <v>19751541.152542319</v>
      </c>
      <c r="H911" s="726">
        <f>+J871*G911+E911</f>
        <v>2954298.1768744094</v>
      </c>
      <c r="I911" s="733">
        <f>+J872*G911+E911</f>
        <v>2954298.1768744094</v>
      </c>
      <c r="J911" s="729">
        <f t="shared" si="82"/>
        <v>0</v>
      </c>
      <c r="K911" s="729"/>
      <c r="L911" s="734"/>
      <c r="M911" s="729">
        <f t="shared" si="83"/>
        <v>0</v>
      </c>
      <c r="N911" s="734"/>
      <c r="O911" s="729">
        <f t="shared" si="84"/>
        <v>0</v>
      </c>
      <c r="P911" s="729">
        <f t="shared" si="85"/>
        <v>0</v>
      </c>
      <c r="Q911" s="677"/>
    </row>
    <row r="912" spans="2:17">
      <c r="B912" s="334"/>
      <c r="C912" s="725">
        <f>IF(D870="","-",+C911+1)</f>
        <v>2052</v>
      </c>
      <c r="D912" s="676">
        <f t="shared" si="86"/>
        <v>19340050.711864352</v>
      </c>
      <c r="E912" s="732">
        <f t="shared" si="87"/>
        <v>822980.88135593222</v>
      </c>
      <c r="F912" s="732">
        <f t="shared" si="80"/>
        <v>18517069.830508418</v>
      </c>
      <c r="G912" s="676">
        <f t="shared" si="81"/>
        <v>18928560.271186385</v>
      </c>
      <c r="H912" s="726">
        <f>+J871*G912+E912</f>
        <v>2865493.2895611385</v>
      </c>
      <c r="I912" s="733">
        <f>+J872*G912+E912</f>
        <v>2865493.2895611385</v>
      </c>
      <c r="J912" s="729">
        <f t="shared" si="82"/>
        <v>0</v>
      </c>
      <c r="K912" s="729"/>
      <c r="L912" s="734"/>
      <c r="M912" s="729">
        <f t="shared" si="83"/>
        <v>0</v>
      </c>
      <c r="N912" s="734"/>
      <c r="O912" s="729">
        <f t="shared" si="84"/>
        <v>0</v>
      </c>
      <c r="P912" s="729">
        <f t="shared" si="85"/>
        <v>0</v>
      </c>
      <c r="Q912" s="677"/>
    </row>
    <row r="913" spans="2:17">
      <c r="B913" s="334"/>
      <c r="C913" s="725">
        <f>IF(D870="","-",+C912+1)</f>
        <v>2053</v>
      </c>
      <c r="D913" s="676">
        <f t="shared" si="86"/>
        <v>18517069.830508418</v>
      </c>
      <c r="E913" s="732">
        <f t="shared" si="87"/>
        <v>822980.88135593222</v>
      </c>
      <c r="F913" s="732">
        <f t="shared" si="80"/>
        <v>17694088.949152485</v>
      </c>
      <c r="G913" s="676">
        <f t="shared" si="81"/>
        <v>18105579.389830451</v>
      </c>
      <c r="H913" s="726">
        <f>+J871*G913+E913</f>
        <v>2776688.4022478685</v>
      </c>
      <c r="I913" s="733">
        <f>+J872*G913+E913</f>
        <v>2776688.4022478685</v>
      </c>
      <c r="J913" s="729">
        <f t="shared" si="82"/>
        <v>0</v>
      </c>
      <c r="K913" s="729"/>
      <c r="L913" s="734"/>
      <c r="M913" s="729">
        <f t="shared" si="83"/>
        <v>0</v>
      </c>
      <c r="N913" s="734"/>
      <c r="O913" s="729">
        <f t="shared" si="84"/>
        <v>0</v>
      </c>
      <c r="P913" s="729">
        <f t="shared" si="85"/>
        <v>0</v>
      </c>
      <c r="Q913" s="677"/>
    </row>
    <row r="914" spans="2:17">
      <c r="B914" s="334"/>
      <c r="C914" s="725">
        <f>IF(D870="","-",+C913+1)</f>
        <v>2054</v>
      </c>
      <c r="D914" s="676">
        <f t="shared" si="86"/>
        <v>17694088.949152485</v>
      </c>
      <c r="E914" s="732">
        <f t="shared" si="87"/>
        <v>822980.88135593222</v>
      </c>
      <c r="F914" s="732">
        <f t="shared" si="80"/>
        <v>16871108.067796551</v>
      </c>
      <c r="G914" s="676">
        <f t="shared" si="81"/>
        <v>17282598.508474518</v>
      </c>
      <c r="H914" s="726">
        <f>+J871*G914+E914</f>
        <v>2687883.5149345985</v>
      </c>
      <c r="I914" s="733">
        <f>+J872*G914+E914</f>
        <v>2687883.5149345985</v>
      </c>
      <c r="J914" s="729">
        <f t="shared" si="82"/>
        <v>0</v>
      </c>
      <c r="K914" s="729"/>
      <c r="L914" s="734"/>
      <c r="M914" s="729">
        <f t="shared" si="83"/>
        <v>0</v>
      </c>
      <c r="N914" s="734"/>
      <c r="O914" s="729">
        <f t="shared" si="84"/>
        <v>0</v>
      </c>
      <c r="P914" s="729">
        <f t="shared" si="85"/>
        <v>0</v>
      </c>
      <c r="Q914" s="677"/>
    </row>
    <row r="915" spans="2:17">
      <c r="B915" s="334"/>
      <c r="C915" s="725">
        <f>IF(D870="","-",+C914+1)</f>
        <v>2055</v>
      </c>
      <c r="D915" s="676">
        <f t="shared" si="86"/>
        <v>16871108.067796551</v>
      </c>
      <c r="E915" s="732">
        <f t="shared" si="87"/>
        <v>822980.88135593222</v>
      </c>
      <c r="F915" s="732">
        <f t="shared" si="80"/>
        <v>16048127.186440619</v>
      </c>
      <c r="G915" s="676">
        <f t="shared" si="81"/>
        <v>16459617.627118584</v>
      </c>
      <c r="H915" s="726">
        <f>+J871*G915+E915</f>
        <v>2599078.627621328</v>
      </c>
      <c r="I915" s="733">
        <f>+J872*G915+E915</f>
        <v>2599078.627621328</v>
      </c>
      <c r="J915" s="729">
        <f t="shared" si="82"/>
        <v>0</v>
      </c>
      <c r="K915" s="729"/>
      <c r="L915" s="734"/>
      <c r="M915" s="729">
        <f t="shared" si="83"/>
        <v>0</v>
      </c>
      <c r="N915" s="734"/>
      <c r="O915" s="729">
        <f t="shared" si="84"/>
        <v>0</v>
      </c>
      <c r="P915" s="729">
        <f t="shared" si="85"/>
        <v>0</v>
      </c>
      <c r="Q915" s="677"/>
    </row>
    <row r="916" spans="2:17">
      <c r="B916" s="334"/>
      <c r="C916" s="725">
        <f>IF(D870="","-",+C915+1)</f>
        <v>2056</v>
      </c>
      <c r="D916" s="676">
        <f t="shared" si="86"/>
        <v>16048127.186440619</v>
      </c>
      <c r="E916" s="732">
        <f t="shared" si="87"/>
        <v>822980.88135593222</v>
      </c>
      <c r="F916" s="732">
        <f t="shared" si="80"/>
        <v>15225146.305084687</v>
      </c>
      <c r="G916" s="676">
        <f t="shared" si="81"/>
        <v>15636636.745762654</v>
      </c>
      <c r="H916" s="726">
        <f>+J871*G916+E916</f>
        <v>2510273.740308058</v>
      </c>
      <c r="I916" s="733">
        <f>+J872*G916+E916</f>
        <v>2510273.740308058</v>
      </c>
      <c r="J916" s="729">
        <f t="shared" si="82"/>
        <v>0</v>
      </c>
      <c r="K916" s="729"/>
      <c r="L916" s="734"/>
      <c r="M916" s="729">
        <f t="shared" si="83"/>
        <v>0</v>
      </c>
      <c r="N916" s="734"/>
      <c r="O916" s="729">
        <f t="shared" si="84"/>
        <v>0</v>
      </c>
      <c r="P916" s="729">
        <f t="shared" si="85"/>
        <v>0</v>
      </c>
      <c r="Q916" s="677"/>
    </row>
    <row r="917" spans="2:17">
      <c r="B917" s="334"/>
      <c r="C917" s="725">
        <f>IF(D870="","-",+C916+1)</f>
        <v>2057</v>
      </c>
      <c r="D917" s="676">
        <f t="shared" si="86"/>
        <v>15225146.305084687</v>
      </c>
      <c r="E917" s="732">
        <f t="shared" si="87"/>
        <v>822980.88135593222</v>
      </c>
      <c r="F917" s="732">
        <f t="shared" si="80"/>
        <v>14402165.423728755</v>
      </c>
      <c r="G917" s="676">
        <f t="shared" si="81"/>
        <v>14813655.86440672</v>
      </c>
      <c r="H917" s="726">
        <f>+J871*G917+E917</f>
        <v>2421468.8529947875</v>
      </c>
      <c r="I917" s="733">
        <f>+J872*G917+E917</f>
        <v>2421468.8529947875</v>
      </c>
      <c r="J917" s="729">
        <f t="shared" si="82"/>
        <v>0</v>
      </c>
      <c r="K917" s="729"/>
      <c r="L917" s="734"/>
      <c r="M917" s="729">
        <f t="shared" si="83"/>
        <v>0</v>
      </c>
      <c r="N917" s="734"/>
      <c r="O917" s="729">
        <f t="shared" si="84"/>
        <v>0</v>
      </c>
      <c r="P917" s="729">
        <f t="shared" si="85"/>
        <v>0</v>
      </c>
      <c r="Q917" s="677"/>
    </row>
    <row r="918" spans="2:17">
      <c r="B918" s="334"/>
      <c r="C918" s="725">
        <f>IF(D870="","-",+C917+1)</f>
        <v>2058</v>
      </c>
      <c r="D918" s="676">
        <f t="shared" si="86"/>
        <v>14402165.423728755</v>
      </c>
      <c r="E918" s="732">
        <f t="shared" si="87"/>
        <v>822980.88135593222</v>
      </c>
      <c r="F918" s="732">
        <f t="shared" si="80"/>
        <v>13579184.542372823</v>
      </c>
      <c r="G918" s="676">
        <f t="shared" si="81"/>
        <v>13990674.98305079</v>
      </c>
      <c r="H918" s="726">
        <f>+J871*G918+E918</f>
        <v>2332663.965681518</v>
      </c>
      <c r="I918" s="733">
        <f>+J872*G918+E918</f>
        <v>2332663.965681518</v>
      </c>
      <c r="J918" s="729">
        <f t="shared" si="82"/>
        <v>0</v>
      </c>
      <c r="K918" s="729"/>
      <c r="L918" s="734"/>
      <c r="M918" s="729">
        <f t="shared" si="83"/>
        <v>0</v>
      </c>
      <c r="N918" s="734"/>
      <c r="O918" s="729">
        <f t="shared" si="84"/>
        <v>0</v>
      </c>
      <c r="P918" s="729">
        <f t="shared" si="85"/>
        <v>0</v>
      </c>
      <c r="Q918" s="677"/>
    </row>
    <row r="919" spans="2:17">
      <c r="B919" s="334"/>
      <c r="C919" s="725">
        <f>IF(D870="","-",+C918+1)</f>
        <v>2059</v>
      </c>
      <c r="D919" s="676">
        <f t="shared" si="86"/>
        <v>13579184.542372823</v>
      </c>
      <c r="E919" s="732">
        <f t="shared" si="87"/>
        <v>822980.88135593222</v>
      </c>
      <c r="F919" s="732">
        <f t="shared" si="80"/>
        <v>12756203.661016891</v>
      </c>
      <c r="G919" s="676">
        <f t="shared" si="81"/>
        <v>13167694.101694856</v>
      </c>
      <c r="H919" s="726">
        <f>+J871*G919+E919</f>
        <v>2243859.0783682475</v>
      </c>
      <c r="I919" s="733">
        <f>+J872*G919+E919</f>
        <v>2243859.0783682475</v>
      </c>
      <c r="J919" s="729">
        <f t="shared" si="82"/>
        <v>0</v>
      </c>
      <c r="K919" s="729"/>
      <c r="L919" s="734"/>
      <c r="M919" s="729">
        <f t="shared" si="83"/>
        <v>0</v>
      </c>
      <c r="N919" s="734"/>
      <c r="O919" s="729">
        <f t="shared" si="84"/>
        <v>0</v>
      </c>
      <c r="P919" s="729">
        <f t="shared" si="85"/>
        <v>0</v>
      </c>
      <c r="Q919" s="677"/>
    </row>
    <row r="920" spans="2:17">
      <c r="B920" s="334"/>
      <c r="C920" s="725">
        <f>IF(D870="","-",+C919+1)</f>
        <v>2060</v>
      </c>
      <c r="D920" s="676">
        <f t="shared" si="86"/>
        <v>12756203.661016891</v>
      </c>
      <c r="E920" s="732">
        <f t="shared" si="87"/>
        <v>822980.88135593222</v>
      </c>
      <c r="F920" s="732">
        <f t="shared" si="80"/>
        <v>11933222.779660959</v>
      </c>
      <c r="G920" s="676">
        <f t="shared" si="81"/>
        <v>12344713.220338926</v>
      </c>
      <c r="H920" s="726">
        <f>+J871*G920+E920</f>
        <v>2155054.1910549775</v>
      </c>
      <c r="I920" s="733">
        <f>+J872*G920+E920</f>
        <v>2155054.1910549775</v>
      </c>
      <c r="J920" s="729">
        <f t="shared" si="82"/>
        <v>0</v>
      </c>
      <c r="K920" s="729"/>
      <c r="L920" s="734"/>
      <c r="M920" s="729">
        <f t="shared" si="83"/>
        <v>0</v>
      </c>
      <c r="N920" s="734"/>
      <c r="O920" s="729">
        <f t="shared" si="84"/>
        <v>0</v>
      </c>
      <c r="P920" s="729">
        <f t="shared" si="85"/>
        <v>0</v>
      </c>
      <c r="Q920" s="677"/>
    </row>
    <row r="921" spans="2:17">
      <c r="B921" s="334"/>
      <c r="C921" s="725">
        <f>IF(D870="","-",+C920+1)</f>
        <v>2061</v>
      </c>
      <c r="D921" s="676">
        <f t="shared" si="86"/>
        <v>11933222.779660959</v>
      </c>
      <c r="E921" s="732">
        <f t="shared" si="87"/>
        <v>822980.88135593222</v>
      </c>
      <c r="F921" s="732">
        <f t="shared" si="80"/>
        <v>11110241.898305027</v>
      </c>
      <c r="G921" s="676">
        <f t="shared" si="81"/>
        <v>11521732.338982992</v>
      </c>
      <c r="H921" s="726">
        <f>+J871*G921+E921</f>
        <v>2066249.3037417075</v>
      </c>
      <c r="I921" s="733">
        <f>+J872*G921+E921</f>
        <v>2066249.3037417075</v>
      </c>
      <c r="J921" s="729">
        <f t="shared" si="82"/>
        <v>0</v>
      </c>
      <c r="K921" s="729"/>
      <c r="L921" s="734"/>
      <c r="M921" s="729">
        <f t="shared" si="83"/>
        <v>0</v>
      </c>
      <c r="N921" s="734"/>
      <c r="O921" s="729">
        <f t="shared" si="84"/>
        <v>0</v>
      </c>
      <c r="P921" s="729">
        <f t="shared" si="85"/>
        <v>0</v>
      </c>
      <c r="Q921" s="677"/>
    </row>
    <row r="922" spans="2:17">
      <c r="B922" s="334"/>
      <c r="C922" s="725">
        <f>IF(D870="","-",+C921+1)</f>
        <v>2062</v>
      </c>
      <c r="D922" s="676">
        <f t="shared" si="86"/>
        <v>11110241.898305027</v>
      </c>
      <c r="E922" s="732">
        <f t="shared" si="87"/>
        <v>822980.88135593222</v>
      </c>
      <c r="F922" s="732">
        <f t="shared" si="80"/>
        <v>10287261.016949095</v>
      </c>
      <c r="G922" s="676">
        <f t="shared" si="81"/>
        <v>10698751.457627062</v>
      </c>
      <c r="H922" s="726">
        <f>+J871*G922+E922</f>
        <v>1977444.4164284375</v>
      </c>
      <c r="I922" s="733">
        <f>+J872*G922+E922</f>
        <v>1977444.4164284375</v>
      </c>
      <c r="J922" s="729">
        <f t="shared" si="82"/>
        <v>0</v>
      </c>
      <c r="K922" s="729"/>
      <c r="L922" s="734"/>
      <c r="M922" s="729">
        <f t="shared" si="83"/>
        <v>0</v>
      </c>
      <c r="N922" s="734"/>
      <c r="O922" s="729">
        <f t="shared" si="84"/>
        <v>0</v>
      </c>
      <c r="P922" s="729">
        <f t="shared" si="85"/>
        <v>0</v>
      </c>
      <c r="Q922" s="677"/>
    </row>
    <row r="923" spans="2:17">
      <c r="B923" s="334"/>
      <c r="C923" s="725">
        <f>IF(D870="","-",+C922+1)</f>
        <v>2063</v>
      </c>
      <c r="D923" s="676">
        <f t="shared" si="86"/>
        <v>10287261.016949095</v>
      </c>
      <c r="E923" s="732">
        <f t="shared" si="87"/>
        <v>822980.88135593222</v>
      </c>
      <c r="F923" s="732">
        <f t="shared" si="80"/>
        <v>9464280.1355931628</v>
      </c>
      <c r="G923" s="676">
        <f t="shared" si="81"/>
        <v>9875770.5762711279</v>
      </c>
      <c r="H923" s="726">
        <f>+J871*G923+E923</f>
        <v>1888639.5291151672</v>
      </c>
      <c r="I923" s="733">
        <f>+J872*G923+E923</f>
        <v>1888639.5291151672</v>
      </c>
      <c r="J923" s="729">
        <f t="shared" si="82"/>
        <v>0</v>
      </c>
      <c r="K923" s="729"/>
      <c r="L923" s="734"/>
      <c r="M923" s="729">
        <f t="shared" si="83"/>
        <v>0</v>
      </c>
      <c r="N923" s="734"/>
      <c r="O923" s="729">
        <f t="shared" si="84"/>
        <v>0</v>
      </c>
      <c r="P923" s="729">
        <f t="shared" si="85"/>
        <v>0</v>
      </c>
      <c r="Q923" s="677"/>
    </row>
    <row r="924" spans="2:17">
      <c r="B924" s="334"/>
      <c r="C924" s="725">
        <f>IF(D870="","-",+C923+1)</f>
        <v>2064</v>
      </c>
      <c r="D924" s="676">
        <f t="shared" si="86"/>
        <v>9464280.1355931628</v>
      </c>
      <c r="E924" s="732">
        <f t="shared" si="87"/>
        <v>822980.88135593222</v>
      </c>
      <c r="F924" s="732">
        <f t="shared" si="80"/>
        <v>8641299.2542372309</v>
      </c>
      <c r="G924" s="676">
        <f t="shared" si="81"/>
        <v>9052789.6949151978</v>
      </c>
      <c r="H924" s="726">
        <f>+J871*G924+E924</f>
        <v>1799834.6418018974</v>
      </c>
      <c r="I924" s="733">
        <f>+J872*G924+E924</f>
        <v>1799834.6418018974</v>
      </c>
      <c r="J924" s="729">
        <f t="shared" si="82"/>
        <v>0</v>
      </c>
      <c r="K924" s="729"/>
      <c r="L924" s="734"/>
      <c r="M924" s="729">
        <f t="shared" si="83"/>
        <v>0</v>
      </c>
      <c r="N924" s="734"/>
      <c r="O924" s="729">
        <f t="shared" si="84"/>
        <v>0</v>
      </c>
      <c r="P924" s="729">
        <f t="shared" si="85"/>
        <v>0</v>
      </c>
      <c r="Q924" s="677"/>
    </row>
    <row r="925" spans="2:17">
      <c r="B925" s="334"/>
      <c r="C925" s="725">
        <f>IF(D870="","-",+C924+1)</f>
        <v>2065</v>
      </c>
      <c r="D925" s="676">
        <f t="shared" si="86"/>
        <v>8641299.2542372309</v>
      </c>
      <c r="E925" s="732">
        <f t="shared" si="87"/>
        <v>822980.88135593222</v>
      </c>
      <c r="F925" s="732">
        <f t="shared" si="80"/>
        <v>7818318.3728812989</v>
      </c>
      <c r="G925" s="676">
        <f t="shared" si="81"/>
        <v>8229808.8135592649</v>
      </c>
      <c r="H925" s="726">
        <f>+J871*G925+E925</f>
        <v>1711029.7544886272</v>
      </c>
      <c r="I925" s="733">
        <f>+J872*G925+E925</f>
        <v>1711029.7544886272</v>
      </c>
      <c r="J925" s="729">
        <f t="shared" si="82"/>
        <v>0</v>
      </c>
      <c r="K925" s="729"/>
      <c r="L925" s="734"/>
      <c r="M925" s="729">
        <f t="shared" si="83"/>
        <v>0</v>
      </c>
      <c r="N925" s="734"/>
      <c r="O925" s="729">
        <f t="shared" si="84"/>
        <v>0</v>
      </c>
      <c r="P925" s="729">
        <f t="shared" si="85"/>
        <v>0</v>
      </c>
      <c r="Q925" s="677"/>
    </row>
    <row r="926" spans="2:17">
      <c r="B926" s="334"/>
      <c r="C926" s="725">
        <f>IF(D870="","-",+C925+1)</f>
        <v>2066</v>
      </c>
      <c r="D926" s="676">
        <f t="shared" si="86"/>
        <v>7818318.3728812989</v>
      </c>
      <c r="E926" s="732">
        <f t="shared" si="87"/>
        <v>822980.88135593222</v>
      </c>
      <c r="F926" s="732">
        <f t="shared" si="80"/>
        <v>6995337.4915253669</v>
      </c>
      <c r="G926" s="676">
        <f t="shared" si="81"/>
        <v>7406827.9322033329</v>
      </c>
      <c r="H926" s="726">
        <f>+J871*G926+E926</f>
        <v>1622224.867175357</v>
      </c>
      <c r="I926" s="733">
        <f>+J872*G926+E926</f>
        <v>1622224.867175357</v>
      </c>
      <c r="J926" s="729">
        <f t="shared" si="82"/>
        <v>0</v>
      </c>
      <c r="K926" s="729"/>
      <c r="L926" s="734"/>
      <c r="M926" s="729">
        <f t="shared" si="83"/>
        <v>0</v>
      </c>
      <c r="N926" s="734"/>
      <c r="O926" s="729">
        <f t="shared" si="84"/>
        <v>0</v>
      </c>
      <c r="P926" s="729">
        <f t="shared" si="85"/>
        <v>0</v>
      </c>
      <c r="Q926" s="677"/>
    </row>
    <row r="927" spans="2:17">
      <c r="B927" s="334"/>
      <c r="C927" s="725">
        <f>IF(D870="","-",+C926+1)</f>
        <v>2067</v>
      </c>
      <c r="D927" s="676">
        <f t="shared" si="86"/>
        <v>6995337.4915253669</v>
      </c>
      <c r="E927" s="732">
        <f t="shared" si="87"/>
        <v>822980.88135593222</v>
      </c>
      <c r="F927" s="732">
        <f t="shared" si="80"/>
        <v>6172356.6101694349</v>
      </c>
      <c r="G927" s="676">
        <f t="shared" si="81"/>
        <v>6583847.0508474009</v>
      </c>
      <c r="H927" s="726">
        <f>+J871*G927+E927</f>
        <v>1533419.9798620869</v>
      </c>
      <c r="I927" s="733">
        <f>+J872*G927+E927</f>
        <v>1533419.9798620869</v>
      </c>
      <c r="J927" s="729">
        <f t="shared" si="82"/>
        <v>0</v>
      </c>
      <c r="K927" s="729"/>
      <c r="L927" s="734"/>
      <c r="M927" s="729">
        <f t="shared" si="83"/>
        <v>0</v>
      </c>
      <c r="N927" s="734"/>
      <c r="O927" s="729">
        <f t="shared" si="84"/>
        <v>0</v>
      </c>
      <c r="P927" s="729">
        <f t="shared" si="85"/>
        <v>0</v>
      </c>
      <c r="Q927" s="677"/>
    </row>
    <row r="928" spans="2:17">
      <c r="B928" s="334"/>
      <c r="C928" s="725">
        <f>IF(D870="","-",+C927+1)</f>
        <v>2068</v>
      </c>
      <c r="D928" s="676">
        <f t="shared" si="86"/>
        <v>6172356.6101694349</v>
      </c>
      <c r="E928" s="732">
        <f t="shared" si="87"/>
        <v>822980.88135593222</v>
      </c>
      <c r="F928" s="732">
        <f t="shared" si="80"/>
        <v>5349375.7288135029</v>
      </c>
      <c r="G928" s="676">
        <f t="shared" si="81"/>
        <v>5760866.1694914689</v>
      </c>
      <c r="H928" s="726">
        <f>+J871*G928+E928</f>
        <v>1444615.0925488169</v>
      </c>
      <c r="I928" s="733">
        <f>+J872*G928+E928</f>
        <v>1444615.0925488169</v>
      </c>
      <c r="J928" s="729">
        <f t="shared" si="82"/>
        <v>0</v>
      </c>
      <c r="K928" s="729"/>
      <c r="L928" s="734"/>
      <c r="M928" s="729">
        <f t="shared" si="83"/>
        <v>0</v>
      </c>
      <c r="N928" s="734"/>
      <c r="O928" s="729">
        <f t="shared" si="84"/>
        <v>0</v>
      </c>
      <c r="P928" s="729">
        <f t="shared" si="85"/>
        <v>0</v>
      </c>
      <c r="Q928" s="677"/>
    </row>
    <row r="929" spans="1:17">
      <c r="B929" s="334"/>
      <c r="C929" s="725">
        <f>IF(D870="","-",+C928+1)</f>
        <v>2069</v>
      </c>
      <c r="D929" s="676">
        <f t="shared" si="86"/>
        <v>5349375.7288135029</v>
      </c>
      <c r="E929" s="732">
        <f t="shared" si="87"/>
        <v>822980.88135593222</v>
      </c>
      <c r="F929" s="732">
        <f t="shared" si="80"/>
        <v>4526394.847457571</v>
      </c>
      <c r="G929" s="676">
        <f t="shared" si="81"/>
        <v>4937885.2881355369</v>
      </c>
      <c r="H929" s="726">
        <f>+J871*G929+E929</f>
        <v>1355810.2052355469</v>
      </c>
      <c r="I929" s="733">
        <f>+J872*G929+E929</f>
        <v>1355810.2052355469</v>
      </c>
      <c r="J929" s="729">
        <f t="shared" si="82"/>
        <v>0</v>
      </c>
      <c r="K929" s="729"/>
      <c r="L929" s="734"/>
      <c r="M929" s="729">
        <f t="shared" si="83"/>
        <v>0</v>
      </c>
      <c r="N929" s="734"/>
      <c r="O929" s="729">
        <f t="shared" si="84"/>
        <v>0</v>
      </c>
      <c r="P929" s="729">
        <f t="shared" si="85"/>
        <v>0</v>
      </c>
      <c r="Q929" s="677"/>
    </row>
    <row r="930" spans="1:17">
      <c r="B930" s="334"/>
      <c r="C930" s="725">
        <f>IF(D870="","-",+C929+1)</f>
        <v>2070</v>
      </c>
      <c r="D930" s="676">
        <f t="shared" si="86"/>
        <v>4526394.847457571</v>
      </c>
      <c r="E930" s="732">
        <f t="shared" si="87"/>
        <v>822980.88135593222</v>
      </c>
      <c r="F930" s="732">
        <f t="shared" si="80"/>
        <v>3703413.966101639</v>
      </c>
      <c r="G930" s="676">
        <f t="shared" si="81"/>
        <v>4114904.406779605</v>
      </c>
      <c r="H930" s="726">
        <f>+J871*G930+E930</f>
        <v>1267005.3179222767</v>
      </c>
      <c r="I930" s="733">
        <f>+J872*G930+E930</f>
        <v>1267005.3179222767</v>
      </c>
      <c r="J930" s="729">
        <f t="shared" si="82"/>
        <v>0</v>
      </c>
      <c r="K930" s="729"/>
      <c r="L930" s="734"/>
      <c r="M930" s="729">
        <f t="shared" si="83"/>
        <v>0</v>
      </c>
      <c r="N930" s="734"/>
      <c r="O930" s="729">
        <f t="shared" si="84"/>
        <v>0</v>
      </c>
      <c r="P930" s="729">
        <f t="shared" si="85"/>
        <v>0</v>
      </c>
      <c r="Q930" s="677"/>
    </row>
    <row r="931" spans="1:17">
      <c r="B931" s="334"/>
      <c r="C931" s="725">
        <f>IF(D870="","-",+C930+1)</f>
        <v>2071</v>
      </c>
      <c r="D931" s="676">
        <f t="shared" si="86"/>
        <v>3703413.966101639</v>
      </c>
      <c r="E931" s="732">
        <f t="shared" si="87"/>
        <v>822980.88135593222</v>
      </c>
      <c r="F931" s="732">
        <f t="shared" si="80"/>
        <v>2880433.084745707</v>
      </c>
      <c r="G931" s="676">
        <f t="shared" si="81"/>
        <v>3291923.525423673</v>
      </c>
      <c r="H931" s="726">
        <f>+J871*G931+E931</f>
        <v>1178200.4306090067</v>
      </c>
      <c r="I931" s="733">
        <f>+J872*G931+E931</f>
        <v>1178200.4306090067</v>
      </c>
      <c r="J931" s="729">
        <f t="shared" si="82"/>
        <v>0</v>
      </c>
      <c r="K931" s="729"/>
      <c r="L931" s="734"/>
      <c r="M931" s="729">
        <f t="shared" si="83"/>
        <v>0</v>
      </c>
      <c r="N931" s="734"/>
      <c r="O931" s="729">
        <f t="shared" si="84"/>
        <v>0</v>
      </c>
      <c r="P931" s="729">
        <f t="shared" si="85"/>
        <v>0</v>
      </c>
      <c r="Q931" s="677"/>
    </row>
    <row r="932" spans="1:17">
      <c r="B932" s="334"/>
      <c r="C932" s="725">
        <f>IF(D870="","-",+C931+1)</f>
        <v>2072</v>
      </c>
      <c r="D932" s="676">
        <f t="shared" si="86"/>
        <v>2880433.084745707</v>
      </c>
      <c r="E932" s="732">
        <f t="shared" si="87"/>
        <v>822980.88135593222</v>
      </c>
      <c r="F932" s="732">
        <f t="shared" si="80"/>
        <v>2057452.2033897748</v>
      </c>
      <c r="G932" s="676">
        <f t="shared" si="81"/>
        <v>2468942.644067741</v>
      </c>
      <c r="H932" s="726">
        <f>+J871*G932+E932</f>
        <v>1089395.5432957364</v>
      </c>
      <c r="I932" s="733">
        <f>+J872*G932+E932</f>
        <v>1089395.5432957364</v>
      </c>
      <c r="J932" s="729">
        <f t="shared" si="82"/>
        <v>0</v>
      </c>
      <c r="K932" s="729"/>
      <c r="L932" s="734"/>
      <c r="M932" s="729">
        <f t="shared" si="83"/>
        <v>0</v>
      </c>
      <c r="N932" s="734"/>
      <c r="O932" s="729">
        <f t="shared" si="84"/>
        <v>0</v>
      </c>
      <c r="P932" s="729">
        <f t="shared" si="85"/>
        <v>0</v>
      </c>
      <c r="Q932" s="677"/>
    </row>
    <row r="933" spans="1:17">
      <c r="B933" s="334"/>
      <c r="C933" s="725">
        <f>IF(D870="","-",+C932+1)</f>
        <v>2073</v>
      </c>
      <c r="D933" s="676">
        <f t="shared" si="86"/>
        <v>2057452.2033897748</v>
      </c>
      <c r="E933" s="732">
        <f t="shared" si="87"/>
        <v>822980.88135593222</v>
      </c>
      <c r="F933" s="732">
        <f t="shared" si="80"/>
        <v>1234471.3220338426</v>
      </c>
      <c r="G933" s="676">
        <f t="shared" si="81"/>
        <v>1645961.7627118086</v>
      </c>
      <c r="H933" s="726">
        <f>+J871*G933+E933</f>
        <v>1000590.6559824664</v>
      </c>
      <c r="I933" s="733">
        <f>+J872*G933+E933</f>
        <v>1000590.6559824664</v>
      </c>
      <c r="J933" s="729">
        <f t="shared" si="82"/>
        <v>0</v>
      </c>
      <c r="K933" s="729"/>
      <c r="L933" s="734"/>
      <c r="M933" s="729">
        <f t="shared" si="83"/>
        <v>0</v>
      </c>
      <c r="N933" s="734"/>
      <c r="O933" s="729">
        <f t="shared" si="84"/>
        <v>0</v>
      </c>
      <c r="P933" s="729">
        <f t="shared" si="85"/>
        <v>0</v>
      </c>
      <c r="Q933" s="677"/>
    </row>
    <row r="934" spans="1:17">
      <c r="B934" s="334"/>
      <c r="C934" s="725">
        <f>IF(D870="","-",+C933+1)</f>
        <v>2074</v>
      </c>
      <c r="D934" s="676">
        <f t="shared" si="86"/>
        <v>1234471.3220338426</v>
      </c>
      <c r="E934" s="732">
        <f t="shared" si="87"/>
        <v>822980.88135593222</v>
      </c>
      <c r="F934" s="732">
        <f t="shared" si="80"/>
        <v>411490.44067791034</v>
      </c>
      <c r="G934" s="676">
        <f t="shared" si="81"/>
        <v>822980.88135587645</v>
      </c>
      <c r="H934" s="726">
        <f>+J871*G934+E934</f>
        <v>911785.76866919629</v>
      </c>
      <c r="I934" s="733">
        <f>+J872*G934+E934</f>
        <v>911785.76866919629</v>
      </c>
      <c r="J934" s="729">
        <f t="shared" si="82"/>
        <v>0</v>
      </c>
      <c r="K934" s="729"/>
      <c r="L934" s="734"/>
      <c r="M934" s="729">
        <f t="shared" si="83"/>
        <v>0</v>
      </c>
      <c r="N934" s="734"/>
      <c r="O934" s="729">
        <f t="shared" si="84"/>
        <v>0</v>
      </c>
      <c r="P934" s="729">
        <f t="shared" si="85"/>
        <v>0</v>
      </c>
      <c r="Q934" s="677"/>
    </row>
    <row r="935" spans="1:17" ht="13.5" thickBot="1">
      <c r="B935" s="334"/>
      <c r="C935" s="737">
        <f>IF(D870="","-",+C934+1)</f>
        <v>2075</v>
      </c>
      <c r="D935" s="738">
        <f t="shared" si="86"/>
        <v>411490.44067791034</v>
      </c>
      <c r="E935" s="739">
        <f t="shared" si="87"/>
        <v>411490.44067791034</v>
      </c>
      <c r="F935" s="739">
        <f t="shared" si="80"/>
        <v>0</v>
      </c>
      <c r="G935" s="738">
        <f t="shared" si="81"/>
        <v>205745.22033895517</v>
      </c>
      <c r="H935" s="740">
        <f>+J871*G935+E935</f>
        <v>433691.66250622488</v>
      </c>
      <c r="I935" s="740">
        <f>+J872*G935+E935</f>
        <v>433691.66250622488</v>
      </c>
      <c r="J935" s="741">
        <f t="shared" si="82"/>
        <v>0</v>
      </c>
      <c r="K935" s="729"/>
      <c r="L935" s="742"/>
      <c r="M935" s="741">
        <f t="shared" si="83"/>
        <v>0</v>
      </c>
      <c r="N935" s="742"/>
      <c r="O935" s="741">
        <f t="shared" si="84"/>
        <v>0</v>
      </c>
      <c r="P935" s="741">
        <f t="shared" si="85"/>
        <v>0</v>
      </c>
      <c r="Q935" s="677"/>
    </row>
    <row r="936" spans="1:17">
      <c r="B936" s="334"/>
      <c r="C936" s="676" t="s">
        <v>289</v>
      </c>
      <c r="D936" s="672"/>
      <c r="E936" s="672">
        <f>SUM(E876:E935)</f>
        <v>48555872</v>
      </c>
      <c r="F936" s="672"/>
      <c r="G936" s="672"/>
      <c r="H936" s="672">
        <f>SUM(H876:H935)</f>
        <v>205740522.5444878</v>
      </c>
      <c r="I936" s="672">
        <f>SUM(I876:I935)</f>
        <v>205740522.5444878</v>
      </c>
      <c r="J936" s="672">
        <f>SUM(J876:J935)</f>
        <v>0</v>
      </c>
      <c r="K936" s="672"/>
      <c r="L936" s="672"/>
      <c r="M936" s="672"/>
      <c r="N936" s="672"/>
      <c r="O936" s="672"/>
      <c r="Q936" s="672"/>
    </row>
    <row r="937" spans="1:17">
      <c r="B937" s="334"/>
      <c r="D937" s="566"/>
      <c r="E937" s="543"/>
      <c r="F937" s="543"/>
      <c r="G937" s="543"/>
      <c r="H937" s="543"/>
      <c r="I937" s="649"/>
      <c r="J937" s="649"/>
      <c r="K937" s="672"/>
      <c r="L937" s="649"/>
      <c r="M937" s="649"/>
      <c r="N937" s="649"/>
      <c r="O937" s="649"/>
      <c r="Q937" s="672"/>
    </row>
    <row r="938" spans="1:17">
      <c r="B938" s="334"/>
      <c r="C938" s="543" t="s">
        <v>602</v>
      </c>
      <c r="D938" s="566"/>
      <c r="E938" s="543"/>
      <c r="F938" s="543"/>
      <c r="G938" s="543"/>
      <c r="H938" s="543"/>
      <c r="I938" s="649"/>
      <c r="J938" s="649"/>
      <c r="K938" s="672"/>
      <c r="L938" s="649"/>
      <c r="M938" s="649"/>
      <c r="N938" s="649"/>
      <c r="O938" s="649"/>
      <c r="Q938" s="672"/>
    </row>
    <row r="939" spans="1:17">
      <c r="B939" s="334"/>
      <c r="D939" s="566"/>
      <c r="E939" s="543"/>
      <c r="F939" s="543"/>
      <c r="G939" s="543"/>
      <c r="H939" s="543"/>
      <c r="I939" s="649"/>
      <c r="J939" s="649"/>
      <c r="K939" s="672"/>
      <c r="L939" s="649"/>
      <c r="M939" s="649"/>
      <c r="N939" s="649"/>
      <c r="O939" s="649"/>
      <c r="Q939" s="672"/>
    </row>
    <row r="940" spans="1:17">
      <c r="B940" s="334"/>
      <c r="C940" s="579" t="s">
        <v>603</v>
      </c>
      <c r="D940" s="676"/>
      <c r="E940" s="676"/>
      <c r="F940" s="676"/>
      <c r="G940" s="676"/>
      <c r="H940" s="672"/>
      <c r="I940" s="672"/>
      <c r="J940" s="677"/>
      <c r="K940" s="677"/>
      <c r="L940" s="677"/>
      <c r="M940" s="677"/>
      <c r="N940" s="677"/>
      <c r="O940" s="677"/>
      <c r="Q940" s="677"/>
    </row>
    <row r="941" spans="1:17">
      <c r="B941" s="334"/>
      <c r="C941" s="579" t="s">
        <v>477</v>
      </c>
      <c r="D941" s="676"/>
      <c r="E941" s="676"/>
      <c r="F941" s="676"/>
      <c r="G941" s="676"/>
      <c r="H941" s="672"/>
      <c r="I941" s="672"/>
      <c r="J941" s="677"/>
      <c r="K941" s="677"/>
      <c r="L941" s="677"/>
      <c r="M941" s="677"/>
      <c r="N941" s="677"/>
      <c r="O941" s="677"/>
      <c r="Q941" s="677"/>
    </row>
    <row r="942" spans="1:17">
      <c r="B942" s="334"/>
      <c r="C942" s="579" t="s">
        <v>290</v>
      </c>
      <c r="D942" s="676"/>
      <c r="E942" s="676"/>
      <c r="F942" s="676"/>
      <c r="G942" s="676"/>
      <c r="H942" s="672"/>
      <c r="I942" s="672"/>
      <c r="J942" s="677"/>
      <c r="K942" s="677"/>
      <c r="L942" s="677"/>
      <c r="M942" s="677"/>
      <c r="N942" s="677"/>
      <c r="O942" s="677"/>
      <c r="Q942" s="677"/>
    </row>
    <row r="943" spans="1:17" ht="20.25">
      <c r="A943" s="678" t="s">
        <v>780</v>
      </c>
      <c r="B943" s="543"/>
      <c r="C943" s="658"/>
      <c r="D943" s="566"/>
      <c r="E943" s="543"/>
      <c r="F943" s="648"/>
      <c r="G943" s="648"/>
      <c r="H943" s="543"/>
      <c r="I943" s="649"/>
      <c r="L943" s="679"/>
      <c r="M943" s="679"/>
      <c r="N943" s="679"/>
      <c r="O943" s="594" t="str">
        <f>"Page "&amp;SUM(Q$3:Q943)&amp;" of "</f>
        <v xml:space="preserve">Page 12 of </v>
      </c>
      <c r="P943" s="595">
        <f>COUNT(Q$8:Q$58123)</f>
        <v>15</v>
      </c>
      <c r="Q943" s="763">
        <v>1</v>
      </c>
    </row>
    <row r="944" spans="1:17">
      <c r="B944" s="543"/>
      <c r="C944" s="543"/>
      <c r="D944" s="566"/>
      <c r="E944" s="543"/>
      <c r="F944" s="543"/>
      <c r="G944" s="543"/>
      <c r="H944" s="543"/>
      <c r="I944" s="649"/>
      <c r="J944" s="543"/>
      <c r="K944" s="591"/>
      <c r="Q944" s="591"/>
    </row>
    <row r="945" spans="1:17" ht="18">
      <c r="B945" s="598" t="s">
        <v>175</v>
      </c>
      <c r="C945" s="680" t="s">
        <v>291</v>
      </c>
      <c r="D945" s="566"/>
      <c r="E945" s="543"/>
      <c r="F945" s="543"/>
      <c r="G945" s="543"/>
      <c r="H945" s="543"/>
      <c r="I945" s="649"/>
      <c r="J945" s="649"/>
      <c r="K945" s="672"/>
      <c r="L945" s="649"/>
      <c r="M945" s="649"/>
      <c r="N945" s="649"/>
      <c r="O945" s="649"/>
      <c r="Q945" s="672"/>
    </row>
    <row r="946" spans="1:17" ht="18.75">
      <c r="B946" s="598"/>
      <c r="C946" s="597"/>
      <c r="D946" s="566"/>
      <c r="E946" s="543"/>
      <c r="F946" s="543"/>
      <c r="G946" s="543"/>
      <c r="H946" s="543"/>
      <c r="I946" s="649"/>
      <c r="J946" s="649"/>
      <c r="K946" s="672"/>
      <c r="L946" s="649"/>
      <c r="M946" s="649"/>
      <c r="N946" s="649"/>
      <c r="O946" s="649"/>
      <c r="Q946" s="672"/>
    </row>
    <row r="947" spans="1:17" ht="18.75">
      <c r="B947" s="598"/>
      <c r="C947" s="597" t="s">
        <v>292</v>
      </c>
      <c r="D947" s="566"/>
      <c r="E947" s="543"/>
      <c r="F947" s="543"/>
      <c r="G947" s="543"/>
      <c r="H947" s="543"/>
      <c r="I947" s="649"/>
      <c r="J947" s="649"/>
      <c r="K947" s="672"/>
      <c r="L947" s="649"/>
      <c r="M947" s="649"/>
      <c r="N947" s="649"/>
      <c r="O947" s="649"/>
      <c r="Q947" s="672"/>
    </row>
    <row r="948" spans="1:17" ht="15.75" thickBot="1">
      <c r="B948" s="334"/>
      <c r="C948" s="400"/>
      <c r="D948" s="566"/>
      <c r="E948" s="543"/>
      <c r="F948" s="543"/>
      <c r="G948" s="543"/>
      <c r="H948" s="543"/>
      <c r="I948" s="649"/>
      <c r="J948" s="649"/>
      <c r="K948" s="672"/>
      <c r="L948" s="649"/>
      <c r="M948" s="649"/>
      <c r="N948" s="649"/>
      <c r="O948" s="649"/>
      <c r="Q948" s="672"/>
    </row>
    <row r="949" spans="1:17" ht="15.75">
      <c r="B949" s="334"/>
      <c r="C949" s="599" t="s">
        <v>293</v>
      </c>
      <c r="D949" s="566"/>
      <c r="E949" s="543"/>
      <c r="F949" s="543"/>
      <c r="G949" s="543"/>
      <c r="H949" s="874"/>
      <c r="I949" s="543" t="s">
        <v>272</v>
      </c>
      <c r="J949" s="543"/>
      <c r="K949" s="591"/>
      <c r="L949" s="764">
        <f>+J955</f>
        <v>2018</v>
      </c>
      <c r="M949" s="746" t="s">
        <v>255</v>
      </c>
      <c r="N949" s="746" t="s">
        <v>256</v>
      </c>
      <c r="O949" s="747" t="s">
        <v>257</v>
      </c>
      <c r="Q949" s="591"/>
    </row>
    <row r="950" spans="1:17" ht="15.75">
      <c r="B950" s="334"/>
      <c r="C950" s="599"/>
      <c r="D950" s="566"/>
      <c r="E950" s="543"/>
      <c r="F950" s="543"/>
      <c r="H950" s="543"/>
      <c r="I950" s="684"/>
      <c r="J950" s="684"/>
      <c r="K950" s="685"/>
      <c r="L950" s="765" t="s">
        <v>456</v>
      </c>
      <c r="M950" s="766">
        <f>VLOOKUP(J955,C962:P1021,10)</f>
        <v>31947</v>
      </c>
      <c r="N950" s="766">
        <f>VLOOKUP(J955,C962:P1021,12)</f>
        <v>31947</v>
      </c>
      <c r="O950" s="767">
        <f>+N950-M950</f>
        <v>0</v>
      </c>
      <c r="Q950" s="685"/>
    </row>
    <row r="951" spans="1:17">
      <c r="B951" s="334"/>
      <c r="C951" s="687" t="s">
        <v>294</v>
      </c>
      <c r="D951" s="1434" t="s">
        <v>1005</v>
      </c>
      <c r="E951" s="1434"/>
      <c r="F951" s="1434"/>
      <c r="G951" s="1434"/>
      <c r="H951" s="1434"/>
      <c r="I951" s="649"/>
      <c r="J951" s="649"/>
      <c r="K951" s="672"/>
      <c r="L951" s="765" t="s">
        <v>457</v>
      </c>
      <c r="M951" s="768">
        <f>VLOOKUP(J955,C962:P1021,6)</f>
        <v>31295.164397972098</v>
      </c>
      <c r="N951" s="768">
        <f>VLOOKUP(J955,C962:P1021,7)</f>
        <v>31295.164397972098</v>
      </c>
      <c r="O951" s="769">
        <f>+N951-M951</f>
        <v>0</v>
      </c>
      <c r="Q951" s="672"/>
    </row>
    <row r="952" spans="1:17" ht="13.5" thickBot="1">
      <c r="B952" s="334"/>
      <c r="C952" s="689"/>
      <c r="D952" s="690"/>
      <c r="E952" s="674"/>
      <c r="F952" s="674"/>
      <c r="G952" s="674"/>
      <c r="H952" s="691"/>
      <c r="I952" s="649"/>
      <c r="J952" s="649"/>
      <c r="K952" s="672"/>
      <c r="L952" s="710" t="s">
        <v>458</v>
      </c>
      <c r="M952" s="770">
        <f>+M951-M950</f>
        <v>-651.8356020279025</v>
      </c>
      <c r="N952" s="770">
        <f>+N951-N950</f>
        <v>-651.8356020279025</v>
      </c>
      <c r="O952" s="771">
        <f>+O951-O950</f>
        <v>0</v>
      </c>
      <c r="Q952" s="672"/>
    </row>
    <row r="953" spans="1:17" ht="13.5" thickBot="1">
      <c r="B953" s="334"/>
      <c r="C953" s="692"/>
      <c r="D953" s="693"/>
      <c r="E953" s="691"/>
      <c r="F953" s="691"/>
      <c r="G953" s="691"/>
      <c r="H953" s="691"/>
      <c r="I953" s="691"/>
      <c r="J953" s="691"/>
      <c r="K953" s="694"/>
      <c r="L953" s="691"/>
      <c r="M953" s="691"/>
      <c r="N953" s="691"/>
      <c r="O953" s="691"/>
      <c r="P953" s="579"/>
      <c r="Q953" s="694"/>
    </row>
    <row r="954" spans="1:17" ht="13.5" thickBot="1">
      <c r="B954" s="334"/>
      <c r="C954" s="696" t="s">
        <v>295</v>
      </c>
      <c r="D954" s="697"/>
      <c r="E954" s="697"/>
      <c r="F954" s="697"/>
      <c r="G954" s="697"/>
      <c r="H954" s="697"/>
      <c r="I954" s="697"/>
      <c r="J954" s="697"/>
      <c r="K954" s="699"/>
      <c r="P954" s="700"/>
      <c r="Q954" s="699"/>
    </row>
    <row r="955" spans="1:17" ht="15">
      <c r="A955" s="695"/>
      <c r="B955" s="334"/>
      <c r="C955" s="702" t="s">
        <v>273</v>
      </c>
      <c r="D955" s="1268">
        <v>267989</v>
      </c>
      <c r="E955" s="658" t="s">
        <v>274</v>
      </c>
      <c r="H955" s="703"/>
      <c r="I955" s="703"/>
      <c r="J955" s="704">
        <v>2018</v>
      </c>
      <c r="K955" s="589"/>
      <c r="L955" s="1445" t="s">
        <v>275</v>
      </c>
      <c r="M955" s="1445"/>
      <c r="N955" s="1445"/>
      <c r="O955" s="1445"/>
      <c r="P955" s="591"/>
      <c r="Q955" s="589"/>
    </row>
    <row r="956" spans="1:17">
      <c r="A956" s="695"/>
      <c r="B956" s="334"/>
      <c r="C956" s="702" t="s">
        <v>276</v>
      </c>
      <c r="D956" s="876">
        <v>2014</v>
      </c>
      <c r="E956" s="702" t="s">
        <v>277</v>
      </c>
      <c r="F956" s="703"/>
      <c r="G956" s="703"/>
      <c r="I956" s="334"/>
      <c r="J956" s="879">
        <v>0</v>
      </c>
      <c r="K956" s="705"/>
      <c r="L956" s="672" t="s">
        <v>476</v>
      </c>
      <c r="P956" s="591"/>
      <c r="Q956" s="705"/>
    </row>
    <row r="957" spans="1:17">
      <c r="A957" s="695"/>
      <c r="B957" s="334"/>
      <c r="C957" s="702" t="s">
        <v>278</v>
      </c>
      <c r="D957" s="1269">
        <v>1</v>
      </c>
      <c r="E957" s="702" t="s">
        <v>279</v>
      </c>
      <c r="F957" s="703"/>
      <c r="G957" s="703"/>
      <c r="I957" s="334"/>
      <c r="J957" s="706">
        <f>$F$70</f>
        <v>0.10790637951024619</v>
      </c>
      <c r="K957" s="707"/>
      <c r="L957" s="543" t="str">
        <f>"          INPUT TRUE-UP ARR (WITH &amp; WITHOUT INCENTIVES) FROM EACH PRIOR YEAR"</f>
        <v xml:space="preserve">          INPUT TRUE-UP ARR (WITH &amp; WITHOUT INCENTIVES) FROM EACH PRIOR YEAR</v>
      </c>
      <c r="P957" s="591"/>
      <c r="Q957" s="707"/>
    </row>
    <row r="958" spans="1:17">
      <c r="A958" s="695"/>
      <c r="B958" s="334"/>
      <c r="C958" s="702" t="s">
        <v>280</v>
      </c>
      <c r="D958" s="708">
        <f>H79</f>
        <v>59</v>
      </c>
      <c r="E958" s="702" t="s">
        <v>281</v>
      </c>
      <c r="F958" s="703"/>
      <c r="G958" s="703"/>
      <c r="I958" s="334"/>
      <c r="J958" s="706">
        <f>IF(H949="",J957,$F$69)</f>
        <v>0.10790637951024619</v>
      </c>
      <c r="K958" s="709"/>
      <c r="L958" s="543" t="s">
        <v>363</v>
      </c>
      <c r="M958" s="709"/>
      <c r="N958" s="709"/>
      <c r="O958" s="709"/>
      <c r="P958" s="591"/>
      <c r="Q958" s="709"/>
    </row>
    <row r="959" spans="1:17" ht="13.5" thickBot="1">
      <c r="A959" s="695"/>
      <c r="B959" s="334"/>
      <c r="C959" s="702" t="s">
        <v>282</v>
      </c>
      <c r="D959" s="878" t="s">
        <v>995</v>
      </c>
      <c r="E959" s="710" t="s">
        <v>283</v>
      </c>
      <c r="F959" s="711"/>
      <c r="G959" s="711"/>
      <c r="H959" s="712"/>
      <c r="I959" s="712"/>
      <c r="J959" s="688">
        <f>IF(D955=0,0,D955/D958)</f>
        <v>4542.1864406779659</v>
      </c>
      <c r="K959" s="672"/>
      <c r="L959" s="672" t="s">
        <v>364</v>
      </c>
      <c r="M959" s="672"/>
      <c r="N959" s="672"/>
      <c r="O959" s="672"/>
      <c r="P959" s="591"/>
      <c r="Q959" s="672"/>
    </row>
    <row r="960" spans="1:17" ht="38.25">
      <c r="A960" s="530"/>
      <c r="B960" s="530"/>
      <c r="C960" s="713" t="s">
        <v>273</v>
      </c>
      <c r="D960" s="714" t="s">
        <v>284</v>
      </c>
      <c r="E960" s="715" t="s">
        <v>285</v>
      </c>
      <c r="F960" s="714" t="s">
        <v>286</v>
      </c>
      <c r="G960" s="714" t="s">
        <v>459</v>
      </c>
      <c r="H960" s="715" t="s">
        <v>357</v>
      </c>
      <c r="I960" s="716" t="s">
        <v>357</v>
      </c>
      <c r="J960" s="713" t="s">
        <v>296</v>
      </c>
      <c r="K960" s="717"/>
      <c r="L960" s="715" t="s">
        <v>359</v>
      </c>
      <c r="M960" s="715" t="s">
        <v>365</v>
      </c>
      <c r="N960" s="715" t="s">
        <v>359</v>
      </c>
      <c r="O960" s="715" t="s">
        <v>367</v>
      </c>
      <c r="P960" s="715" t="s">
        <v>287</v>
      </c>
      <c r="Q960" s="718"/>
    </row>
    <row r="961" spans="2:17" ht="13.5" thickBot="1">
      <c r="B961" s="334"/>
      <c r="C961" s="719" t="s">
        <v>178</v>
      </c>
      <c r="D961" s="720" t="s">
        <v>179</v>
      </c>
      <c r="E961" s="719" t="s">
        <v>37</v>
      </c>
      <c r="F961" s="720" t="s">
        <v>179</v>
      </c>
      <c r="G961" s="720" t="s">
        <v>179</v>
      </c>
      <c r="H961" s="721" t="s">
        <v>299</v>
      </c>
      <c r="I961" s="722" t="s">
        <v>301</v>
      </c>
      <c r="J961" s="723" t="s">
        <v>390</v>
      </c>
      <c r="K961" s="724"/>
      <c r="L961" s="721" t="s">
        <v>288</v>
      </c>
      <c r="M961" s="721" t="s">
        <v>288</v>
      </c>
      <c r="N961" s="721" t="s">
        <v>468</v>
      </c>
      <c r="O961" s="721" t="s">
        <v>468</v>
      </c>
      <c r="P961" s="721" t="s">
        <v>468</v>
      </c>
      <c r="Q961" s="589"/>
    </row>
    <row r="962" spans="2:17">
      <c r="B962" s="334"/>
      <c r="C962" s="725">
        <f>IF(D956= "","-",D956)</f>
        <v>2014</v>
      </c>
      <c r="D962" s="676">
        <f>+D955</f>
        <v>267989</v>
      </c>
      <c r="E962" s="726">
        <f>+J959/12*(12-D957)</f>
        <v>4163.6709039548023</v>
      </c>
      <c r="F962" s="772">
        <f t="shared" ref="F962:F1021" si="88">+D962-E962</f>
        <v>263825.32909604517</v>
      </c>
      <c r="G962" s="676">
        <f t="shared" ref="G962:G1021" si="89">+(D962+F962)/2</f>
        <v>265907.16454802256</v>
      </c>
      <c r="H962" s="727">
        <f>+J957*G962+E962</f>
        <v>32856.750316167207</v>
      </c>
      <c r="I962" s="728">
        <f>+J958*G962+E962</f>
        <v>32856.750316167207</v>
      </c>
      <c r="J962" s="729">
        <f t="shared" ref="J962:J1021" si="90">+I962-H962</f>
        <v>0</v>
      </c>
      <c r="K962" s="729"/>
      <c r="L962" s="730">
        <v>0</v>
      </c>
      <c r="M962" s="773">
        <f t="shared" ref="M962:M1021" si="91">IF(L962&lt;&gt;0,+H962-L962,0)</f>
        <v>0</v>
      </c>
      <c r="N962" s="730">
        <v>0</v>
      </c>
      <c r="O962" s="773">
        <f t="shared" ref="O962:O1021" si="92">IF(N962&lt;&gt;0,+I962-N962,0)</f>
        <v>0</v>
      </c>
      <c r="P962" s="773">
        <f t="shared" ref="P962:P1021" si="93">+O962-M962</f>
        <v>0</v>
      </c>
      <c r="Q962" s="677"/>
    </row>
    <row r="963" spans="2:17">
      <c r="B963" s="334"/>
      <c r="C963" s="725">
        <f>IF(D956="","-",+C962+1)</f>
        <v>2015</v>
      </c>
      <c r="D963" s="676">
        <f t="shared" ref="D963:D1021" si="94">F962</f>
        <v>263825.32909604517</v>
      </c>
      <c r="E963" s="732">
        <f>IF(D963&gt;$J$959,$J$959,D963)</f>
        <v>4542.1864406779659</v>
      </c>
      <c r="F963" s="732">
        <f t="shared" si="88"/>
        <v>259283.14265536721</v>
      </c>
      <c r="G963" s="676">
        <f t="shared" si="89"/>
        <v>261554.23587570619</v>
      </c>
      <c r="H963" s="726">
        <f>+J957*G963+E963</f>
        <v>32765.557079594364</v>
      </c>
      <c r="I963" s="733">
        <f>+J958*G963+E963</f>
        <v>32765.557079594364</v>
      </c>
      <c r="J963" s="729">
        <f t="shared" si="90"/>
        <v>0</v>
      </c>
      <c r="K963" s="729"/>
      <c r="L963" s="734">
        <v>0</v>
      </c>
      <c r="M963" s="729">
        <f t="shared" si="91"/>
        <v>0</v>
      </c>
      <c r="N963" s="734">
        <v>0</v>
      </c>
      <c r="O963" s="729">
        <f t="shared" si="92"/>
        <v>0</v>
      </c>
      <c r="P963" s="729">
        <f t="shared" si="93"/>
        <v>0</v>
      </c>
      <c r="Q963" s="677"/>
    </row>
    <row r="964" spans="2:17">
      <c r="B964" s="334"/>
      <c r="C964" s="725">
        <f>IF(D956="","-",+C963+1)</f>
        <v>2016</v>
      </c>
      <c r="D964" s="1282">
        <f t="shared" si="94"/>
        <v>259283.14265536721</v>
      </c>
      <c r="E964" s="732">
        <f t="shared" ref="E964:E1021" si="95">IF(D964&gt;$J$959,$J$959,D964)</f>
        <v>4542.1864406779659</v>
      </c>
      <c r="F964" s="732">
        <f t="shared" si="88"/>
        <v>254740.95621468924</v>
      </c>
      <c r="G964" s="676">
        <f t="shared" si="89"/>
        <v>257012.04943502822</v>
      </c>
      <c r="H964" s="726">
        <f>+J957*G964+E964</f>
        <v>32275.426185720273</v>
      </c>
      <c r="I964" s="733">
        <f>+J958*G964+E964</f>
        <v>32275.426185720273</v>
      </c>
      <c r="J964" s="729">
        <f t="shared" si="90"/>
        <v>0</v>
      </c>
      <c r="K964" s="729"/>
      <c r="L964" s="734">
        <v>0</v>
      </c>
      <c r="M964" s="729">
        <f t="shared" si="91"/>
        <v>0</v>
      </c>
      <c r="N964" s="734">
        <v>0</v>
      </c>
      <c r="O964" s="729">
        <f t="shared" si="92"/>
        <v>0</v>
      </c>
      <c r="P964" s="729">
        <f t="shared" si="93"/>
        <v>0</v>
      </c>
      <c r="Q964" s="677"/>
    </row>
    <row r="965" spans="2:17">
      <c r="B965" s="334"/>
      <c r="C965" s="725">
        <f>IF(D956="","-",+C964+1)</f>
        <v>2017</v>
      </c>
      <c r="D965" s="1282">
        <f t="shared" si="94"/>
        <v>254740.95621468924</v>
      </c>
      <c r="E965" s="732">
        <f t="shared" si="95"/>
        <v>4542.1864406779659</v>
      </c>
      <c r="F965" s="732">
        <f t="shared" si="88"/>
        <v>250198.76977401128</v>
      </c>
      <c r="G965" s="676">
        <f t="shared" si="89"/>
        <v>252469.86299435026</v>
      </c>
      <c r="H965" s="726">
        <f>+J957*G965+E965</f>
        <v>31785.295291846189</v>
      </c>
      <c r="I965" s="733">
        <f>+J958*G965+E965</f>
        <v>31785.295291846189</v>
      </c>
      <c r="J965" s="729">
        <f t="shared" si="90"/>
        <v>0</v>
      </c>
      <c r="K965" s="729"/>
      <c r="L965" s="734">
        <v>35555</v>
      </c>
      <c r="M965" s="729">
        <f t="shared" si="91"/>
        <v>-3769.7047081538112</v>
      </c>
      <c r="N965" s="734">
        <v>35555</v>
      </c>
      <c r="O965" s="729">
        <f t="shared" si="92"/>
        <v>-3769.7047081538112</v>
      </c>
      <c r="P965" s="729">
        <f t="shared" si="93"/>
        <v>0</v>
      </c>
      <c r="Q965" s="677"/>
    </row>
    <row r="966" spans="2:17">
      <c r="B966" s="334"/>
      <c r="C966" s="725">
        <f>IF(D956="","-",+C965+1)</f>
        <v>2018</v>
      </c>
      <c r="D966" s="1311">
        <f t="shared" si="94"/>
        <v>250198.76977401128</v>
      </c>
      <c r="E966" s="732">
        <f t="shared" si="95"/>
        <v>4542.1864406779659</v>
      </c>
      <c r="F966" s="732">
        <f t="shared" si="88"/>
        <v>245656.58333333331</v>
      </c>
      <c r="G966" s="676">
        <f t="shared" si="89"/>
        <v>247927.6765536723</v>
      </c>
      <c r="H966" s="726">
        <f>+J957*G966+E966</f>
        <v>31295.164397972098</v>
      </c>
      <c r="I966" s="733">
        <f>+J958*G966+E966</f>
        <v>31295.164397972098</v>
      </c>
      <c r="J966" s="729">
        <f t="shared" si="90"/>
        <v>0</v>
      </c>
      <c r="K966" s="729"/>
      <c r="L966" s="734">
        <v>31947</v>
      </c>
      <c r="M966" s="729">
        <f t="shared" si="91"/>
        <v>-651.8356020279025</v>
      </c>
      <c r="N966" s="734">
        <v>31947</v>
      </c>
      <c r="O966" s="729">
        <f t="shared" si="92"/>
        <v>-651.8356020279025</v>
      </c>
      <c r="P966" s="729">
        <f t="shared" si="93"/>
        <v>0</v>
      </c>
      <c r="Q966" s="677"/>
    </row>
    <row r="967" spans="2:17">
      <c r="B967" s="334"/>
      <c r="C967" s="725">
        <f>IF(D956="","-",+C966+1)</f>
        <v>2019</v>
      </c>
      <c r="D967" s="676">
        <f t="shared" si="94"/>
        <v>245656.58333333331</v>
      </c>
      <c r="E967" s="732">
        <f t="shared" si="95"/>
        <v>4542.1864406779659</v>
      </c>
      <c r="F967" s="732">
        <f t="shared" si="88"/>
        <v>241114.39689265535</v>
      </c>
      <c r="G967" s="676">
        <f t="shared" si="89"/>
        <v>243385.49011299433</v>
      </c>
      <c r="H967" s="726">
        <f>+J957*G967+E967</f>
        <v>30805.033504098006</v>
      </c>
      <c r="I967" s="733">
        <f>+J958*G967+E967</f>
        <v>30805.033504098006</v>
      </c>
      <c r="J967" s="729">
        <f t="shared" si="90"/>
        <v>0</v>
      </c>
      <c r="K967" s="729"/>
      <c r="L967" s="734">
        <v>0</v>
      </c>
      <c r="M967" s="729">
        <f t="shared" si="91"/>
        <v>0</v>
      </c>
      <c r="N967" s="734">
        <v>0</v>
      </c>
      <c r="O967" s="729">
        <f t="shared" si="92"/>
        <v>0</v>
      </c>
      <c r="P967" s="729">
        <f t="shared" si="93"/>
        <v>0</v>
      </c>
      <c r="Q967" s="677"/>
    </row>
    <row r="968" spans="2:17">
      <c r="B968" s="334"/>
      <c r="C968" s="725">
        <f>IF(D956="","-",+C967+1)</f>
        <v>2020</v>
      </c>
      <c r="D968" s="676">
        <f t="shared" si="94"/>
        <v>241114.39689265535</v>
      </c>
      <c r="E968" s="732">
        <f t="shared" si="95"/>
        <v>4542.1864406779659</v>
      </c>
      <c r="F968" s="732">
        <f t="shared" si="88"/>
        <v>236572.21045197739</v>
      </c>
      <c r="G968" s="676">
        <f t="shared" si="89"/>
        <v>238843.30367231637</v>
      </c>
      <c r="H968" s="726">
        <f>+J957*G968+E968</f>
        <v>30314.902610223915</v>
      </c>
      <c r="I968" s="733">
        <f>+J958*G968+E968</f>
        <v>30314.902610223915</v>
      </c>
      <c r="J968" s="729">
        <f t="shared" si="90"/>
        <v>0</v>
      </c>
      <c r="K968" s="729"/>
      <c r="L968" s="734">
        <v>0</v>
      </c>
      <c r="M968" s="729">
        <f t="shared" si="91"/>
        <v>0</v>
      </c>
      <c r="N968" s="734">
        <v>0</v>
      </c>
      <c r="O968" s="729">
        <f t="shared" si="92"/>
        <v>0</v>
      </c>
      <c r="P968" s="729">
        <f t="shared" si="93"/>
        <v>0</v>
      </c>
      <c r="Q968" s="677"/>
    </row>
    <row r="969" spans="2:17">
      <c r="B969" s="334"/>
      <c r="C969" s="725">
        <f>IF(D956="","-",+C968+1)</f>
        <v>2021</v>
      </c>
      <c r="D969" s="676">
        <f t="shared" si="94"/>
        <v>236572.21045197739</v>
      </c>
      <c r="E969" s="732">
        <f t="shared" si="95"/>
        <v>4542.1864406779659</v>
      </c>
      <c r="F969" s="732">
        <f t="shared" si="88"/>
        <v>232030.02401129942</v>
      </c>
      <c r="G969" s="676">
        <f t="shared" si="89"/>
        <v>234301.1172316384</v>
      </c>
      <c r="H969" s="726">
        <f>+J957*G969+E969</f>
        <v>29824.771716349824</v>
      </c>
      <c r="I969" s="733">
        <f>+J958*G969+E969</f>
        <v>29824.771716349824</v>
      </c>
      <c r="J969" s="729">
        <f t="shared" si="90"/>
        <v>0</v>
      </c>
      <c r="K969" s="729"/>
      <c r="L969" s="734">
        <v>0</v>
      </c>
      <c r="M969" s="729">
        <f t="shared" si="91"/>
        <v>0</v>
      </c>
      <c r="N969" s="734">
        <v>0</v>
      </c>
      <c r="O969" s="729">
        <f t="shared" si="92"/>
        <v>0</v>
      </c>
      <c r="P969" s="729">
        <f t="shared" si="93"/>
        <v>0</v>
      </c>
      <c r="Q969" s="677"/>
    </row>
    <row r="970" spans="2:17">
      <c r="B970" s="334"/>
      <c r="C970" s="725">
        <f>IF(D956="","-",+C969+1)</f>
        <v>2022</v>
      </c>
      <c r="D970" s="676">
        <f t="shared" si="94"/>
        <v>232030.02401129942</v>
      </c>
      <c r="E970" s="732">
        <f t="shared" si="95"/>
        <v>4542.1864406779659</v>
      </c>
      <c r="F970" s="732">
        <f t="shared" si="88"/>
        <v>227487.83757062146</v>
      </c>
      <c r="G970" s="676">
        <f t="shared" si="89"/>
        <v>229758.93079096044</v>
      </c>
      <c r="H970" s="726">
        <f>+J957*G970+E970</f>
        <v>29334.640822475732</v>
      </c>
      <c r="I970" s="733">
        <f>+J958*G970+E970</f>
        <v>29334.640822475732</v>
      </c>
      <c r="J970" s="729">
        <f t="shared" si="90"/>
        <v>0</v>
      </c>
      <c r="K970" s="729"/>
      <c r="L970" s="734">
        <v>0</v>
      </c>
      <c r="M970" s="729">
        <f t="shared" si="91"/>
        <v>0</v>
      </c>
      <c r="N970" s="734">
        <v>0</v>
      </c>
      <c r="O970" s="729">
        <f t="shared" si="92"/>
        <v>0</v>
      </c>
      <c r="P970" s="729">
        <f t="shared" si="93"/>
        <v>0</v>
      </c>
      <c r="Q970" s="677"/>
    </row>
    <row r="971" spans="2:17">
      <c r="B971" s="334"/>
      <c r="C971" s="725">
        <f>IF(D956="","-",+C970+1)</f>
        <v>2023</v>
      </c>
      <c r="D971" s="676">
        <f t="shared" si="94"/>
        <v>227487.83757062146</v>
      </c>
      <c r="E971" s="732">
        <f t="shared" si="95"/>
        <v>4542.1864406779659</v>
      </c>
      <c r="F971" s="732">
        <f t="shared" si="88"/>
        <v>222945.65112994349</v>
      </c>
      <c r="G971" s="676">
        <f t="shared" si="89"/>
        <v>225216.74435028248</v>
      </c>
      <c r="H971" s="726">
        <f>+J957*G971+E971</f>
        <v>28844.509928601641</v>
      </c>
      <c r="I971" s="733">
        <f>+J958*G971+E971</f>
        <v>28844.509928601641</v>
      </c>
      <c r="J971" s="729">
        <f t="shared" si="90"/>
        <v>0</v>
      </c>
      <c r="K971" s="729"/>
      <c r="L971" s="734">
        <v>0</v>
      </c>
      <c r="M971" s="729">
        <f t="shared" si="91"/>
        <v>0</v>
      </c>
      <c r="N971" s="734">
        <v>0</v>
      </c>
      <c r="O971" s="729">
        <f t="shared" si="92"/>
        <v>0</v>
      </c>
      <c r="P971" s="729">
        <f t="shared" si="93"/>
        <v>0</v>
      </c>
      <c r="Q971" s="677"/>
    </row>
    <row r="972" spans="2:17">
      <c r="B972" s="334"/>
      <c r="C972" s="725">
        <f>IF(D956="","-",+C971+1)</f>
        <v>2024</v>
      </c>
      <c r="D972" s="676">
        <f t="shared" si="94"/>
        <v>222945.65112994349</v>
      </c>
      <c r="E972" s="732">
        <f t="shared" si="95"/>
        <v>4542.1864406779659</v>
      </c>
      <c r="F972" s="732">
        <f t="shared" si="88"/>
        <v>218403.46468926553</v>
      </c>
      <c r="G972" s="676">
        <f t="shared" si="89"/>
        <v>220674.55790960451</v>
      </c>
      <c r="H972" s="726">
        <f>+J957*G972+E972</f>
        <v>28354.37903472755</v>
      </c>
      <c r="I972" s="733">
        <f>+J958*G972+E972</f>
        <v>28354.37903472755</v>
      </c>
      <c r="J972" s="729">
        <f t="shared" si="90"/>
        <v>0</v>
      </c>
      <c r="K972" s="729"/>
      <c r="L972" s="734">
        <v>0</v>
      </c>
      <c r="M972" s="729">
        <f t="shared" si="91"/>
        <v>0</v>
      </c>
      <c r="N972" s="734">
        <v>0</v>
      </c>
      <c r="O972" s="729">
        <f t="shared" si="92"/>
        <v>0</v>
      </c>
      <c r="P972" s="729">
        <f t="shared" si="93"/>
        <v>0</v>
      </c>
      <c r="Q972" s="677"/>
    </row>
    <row r="973" spans="2:17">
      <c r="B973" s="334"/>
      <c r="C973" s="725">
        <f>IF(D956="","-",+C972+1)</f>
        <v>2025</v>
      </c>
      <c r="D973" s="676">
        <f t="shared" si="94"/>
        <v>218403.46468926553</v>
      </c>
      <c r="E973" s="732">
        <f t="shared" si="95"/>
        <v>4542.1864406779659</v>
      </c>
      <c r="F973" s="732">
        <f t="shared" si="88"/>
        <v>213861.27824858757</v>
      </c>
      <c r="G973" s="676">
        <f t="shared" si="89"/>
        <v>216132.37146892655</v>
      </c>
      <c r="H973" s="726">
        <f>+J957*G973+E973</f>
        <v>27864.248140853459</v>
      </c>
      <c r="I973" s="733">
        <f>+J958*G973+E973</f>
        <v>27864.248140853459</v>
      </c>
      <c r="J973" s="729">
        <f t="shared" si="90"/>
        <v>0</v>
      </c>
      <c r="K973" s="729"/>
      <c r="L973" s="734"/>
      <c r="M973" s="729">
        <f t="shared" si="91"/>
        <v>0</v>
      </c>
      <c r="N973" s="734"/>
      <c r="O973" s="729">
        <f t="shared" si="92"/>
        <v>0</v>
      </c>
      <c r="P973" s="729">
        <f t="shared" si="93"/>
        <v>0</v>
      </c>
      <c r="Q973" s="677"/>
    </row>
    <row r="974" spans="2:17">
      <c r="B974" s="334"/>
      <c r="C974" s="725">
        <f>IF(D956="","-",+C973+1)</f>
        <v>2026</v>
      </c>
      <c r="D974" s="676">
        <f t="shared" si="94"/>
        <v>213861.27824858757</v>
      </c>
      <c r="E974" s="732">
        <f t="shared" si="95"/>
        <v>4542.1864406779659</v>
      </c>
      <c r="F974" s="732">
        <f t="shared" si="88"/>
        <v>209319.0918079096</v>
      </c>
      <c r="G974" s="676">
        <f t="shared" si="89"/>
        <v>211590.18502824858</v>
      </c>
      <c r="H974" s="726">
        <f>+J957*G974+E974</f>
        <v>27374.117246979367</v>
      </c>
      <c r="I974" s="733">
        <f>+J958*G974+E974</f>
        <v>27374.117246979367</v>
      </c>
      <c r="J974" s="729">
        <f t="shared" si="90"/>
        <v>0</v>
      </c>
      <c r="K974" s="729"/>
      <c r="L974" s="734"/>
      <c r="M974" s="729">
        <f t="shared" si="91"/>
        <v>0</v>
      </c>
      <c r="N974" s="734"/>
      <c r="O974" s="729">
        <f t="shared" si="92"/>
        <v>0</v>
      </c>
      <c r="P974" s="729">
        <f t="shared" si="93"/>
        <v>0</v>
      </c>
      <c r="Q974" s="677"/>
    </row>
    <row r="975" spans="2:17">
      <c r="B975" s="334"/>
      <c r="C975" s="725">
        <f>IF(D956="","-",+C974+1)</f>
        <v>2027</v>
      </c>
      <c r="D975" s="676">
        <f t="shared" si="94"/>
        <v>209319.0918079096</v>
      </c>
      <c r="E975" s="732">
        <f t="shared" si="95"/>
        <v>4542.1864406779659</v>
      </c>
      <c r="F975" s="732">
        <f t="shared" si="88"/>
        <v>204776.90536723164</v>
      </c>
      <c r="G975" s="676">
        <f t="shared" si="89"/>
        <v>207047.99858757062</v>
      </c>
      <c r="H975" s="726">
        <f>+J957*G975+E975</f>
        <v>26883.986353105276</v>
      </c>
      <c r="I975" s="733">
        <f>+J958*G975+E975</f>
        <v>26883.986353105276</v>
      </c>
      <c r="J975" s="729">
        <f t="shared" si="90"/>
        <v>0</v>
      </c>
      <c r="K975" s="729"/>
      <c r="L975" s="734"/>
      <c r="M975" s="729">
        <f t="shared" si="91"/>
        <v>0</v>
      </c>
      <c r="N975" s="734"/>
      <c r="O975" s="729">
        <f t="shared" si="92"/>
        <v>0</v>
      </c>
      <c r="P975" s="729">
        <f t="shared" si="93"/>
        <v>0</v>
      </c>
      <c r="Q975" s="677"/>
    </row>
    <row r="976" spans="2:17">
      <c r="B976" s="334"/>
      <c r="C976" s="725">
        <f>IF(D956="","-",+C975+1)</f>
        <v>2028</v>
      </c>
      <c r="D976" s="676">
        <f t="shared" si="94"/>
        <v>204776.90536723164</v>
      </c>
      <c r="E976" s="732">
        <f t="shared" si="95"/>
        <v>4542.1864406779659</v>
      </c>
      <c r="F976" s="732">
        <f t="shared" si="88"/>
        <v>200234.71892655367</v>
      </c>
      <c r="G976" s="676">
        <f t="shared" si="89"/>
        <v>202505.81214689265</v>
      </c>
      <c r="H976" s="726">
        <f>+J957*G976+E976</f>
        <v>26393.855459231185</v>
      </c>
      <c r="I976" s="733">
        <f>+J958*G976+E976</f>
        <v>26393.855459231185</v>
      </c>
      <c r="J976" s="729">
        <f t="shared" si="90"/>
        <v>0</v>
      </c>
      <c r="K976" s="729"/>
      <c r="L976" s="734"/>
      <c r="M976" s="729">
        <f t="shared" si="91"/>
        <v>0</v>
      </c>
      <c r="N976" s="734"/>
      <c r="O976" s="729">
        <f t="shared" si="92"/>
        <v>0</v>
      </c>
      <c r="P976" s="729">
        <f t="shared" si="93"/>
        <v>0</v>
      </c>
      <c r="Q976" s="677"/>
    </row>
    <row r="977" spans="2:17">
      <c r="B977" s="334"/>
      <c r="C977" s="725">
        <f>IF(D956="","-",+C976+1)</f>
        <v>2029</v>
      </c>
      <c r="D977" s="676">
        <f t="shared" si="94"/>
        <v>200234.71892655367</v>
      </c>
      <c r="E977" s="732">
        <f t="shared" si="95"/>
        <v>4542.1864406779659</v>
      </c>
      <c r="F977" s="732">
        <f t="shared" si="88"/>
        <v>195692.53248587571</v>
      </c>
      <c r="G977" s="676">
        <f t="shared" si="89"/>
        <v>197963.62570621469</v>
      </c>
      <c r="H977" s="726">
        <f>+J957*G977+E977</f>
        <v>25903.724565357094</v>
      </c>
      <c r="I977" s="733">
        <f>+J958*G977+E977</f>
        <v>25903.724565357094</v>
      </c>
      <c r="J977" s="729">
        <f t="shared" si="90"/>
        <v>0</v>
      </c>
      <c r="K977" s="729"/>
      <c r="L977" s="734"/>
      <c r="M977" s="729">
        <f t="shared" si="91"/>
        <v>0</v>
      </c>
      <c r="N977" s="734"/>
      <c r="O977" s="729">
        <f t="shared" si="92"/>
        <v>0</v>
      </c>
      <c r="P977" s="729">
        <f t="shared" si="93"/>
        <v>0</v>
      </c>
      <c r="Q977" s="677"/>
    </row>
    <row r="978" spans="2:17">
      <c r="B978" s="334"/>
      <c r="C978" s="725">
        <f>IF(D956="","-",+C977+1)</f>
        <v>2030</v>
      </c>
      <c r="D978" s="676">
        <f t="shared" si="94"/>
        <v>195692.53248587571</v>
      </c>
      <c r="E978" s="732">
        <f t="shared" si="95"/>
        <v>4542.1864406779659</v>
      </c>
      <c r="F978" s="732">
        <f t="shared" si="88"/>
        <v>191150.34604519774</v>
      </c>
      <c r="G978" s="676">
        <f t="shared" si="89"/>
        <v>193421.43926553673</v>
      </c>
      <c r="H978" s="726">
        <f>+J957*G978+E978</f>
        <v>25413.593671483002</v>
      </c>
      <c r="I978" s="733">
        <f>+J958*G978+E978</f>
        <v>25413.593671483002</v>
      </c>
      <c r="J978" s="729">
        <f t="shared" si="90"/>
        <v>0</v>
      </c>
      <c r="K978" s="729"/>
      <c r="L978" s="734"/>
      <c r="M978" s="729">
        <f t="shared" si="91"/>
        <v>0</v>
      </c>
      <c r="N978" s="734"/>
      <c r="O978" s="729">
        <f t="shared" si="92"/>
        <v>0</v>
      </c>
      <c r="P978" s="729">
        <f t="shared" si="93"/>
        <v>0</v>
      </c>
      <c r="Q978" s="677"/>
    </row>
    <row r="979" spans="2:17">
      <c r="B979" s="334"/>
      <c r="C979" s="725">
        <f>IF(D956="","-",+C978+1)</f>
        <v>2031</v>
      </c>
      <c r="D979" s="676">
        <f t="shared" si="94"/>
        <v>191150.34604519774</v>
      </c>
      <c r="E979" s="732">
        <f t="shared" si="95"/>
        <v>4542.1864406779659</v>
      </c>
      <c r="F979" s="732">
        <f t="shared" si="88"/>
        <v>186608.15960451978</v>
      </c>
      <c r="G979" s="676">
        <f t="shared" si="89"/>
        <v>188879.25282485876</v>
      </c>
      <c r="H979" s="726">
        <f>+J957*G979+E979</f>
        <v>24923.462777608918</v>
      </c>
      <c r="I979" s="733">
        <f>+J958*G979+E979</f>
        <v>24923.462777608918</v>
      </c>
      <c r="J979" s="729">
        <f t="shared" si="90"/>
        <v>0</v>
      </c>
      <c r="K979" s="729"/>
      <c r="L979" s="734"/>
      <c r="M979" s="729">
        <f t="shared" si="91"/>
        <v>0</v>
      </c>
      <c r="N979" s="734"/>
      <c r="O979" s="729">
        <f t="shared" si="92"/>
        <v>0</v>
      </c>
      <c r="P979" s="729">
        <f t="shared" si="93"/>
        <v>0</v>
      </c>
      <c r="Q979" s="677"/>
    </row>
    <row r="980" spans="2:17">
      <c r="B980" s="334"/>
      <c r="C980" s="725">
        <f>IF(D956="","-",+C979+1)</f>
        <v>2032</v>
      </c>
      <c r="D980" s="676">
        <f t="shared" si="94"/>
        <v>186608.15960451978</v>
      </c>
      <c r="E980" s="732">
        <f t="shared" si="95"/>
        <v>4542.1864406779659</v>
      </c>
      <c r="F980" s="732">
        <f t="shared" si="88"/>
        <v>182065.97316384182</v>
      </c>
      <c r="G980" s="676">
        <f t="shared" si="89"/>
        <v>184337.0663841808</v>
      </c>
      <c r="H980" s="726">
        <f>+J957*G980+E980</f>
        <v>24433.331883734827</v>
      </c>
      <c r="I980" s="733">
        <f>+J958*G980+E980</f>
        <v>24433.331883734827</v>
      </c>
      <c r="J980" s="729">
        <f t="shared" si="90"/>
        <v>0</v>
      </c>
      <c r="K980" s="729"/>
      <c r="L980" s="734"/>
      <c r="M980" s="729">
        <f t="shared" si="91"/>
        <v>0</v>
      </c>
      <c r="N980" s="734"/>
      <c r="O980" s="729">
        <f t="shared" si="92"/>
        <v>0</v>
      </c>
      <c r="P980" s="729">
        <f t="shared" si="93"/>
        <v>0</v>
      </c>
      <c r="Q980" s="677"/>
    </row>
    <row r="981" spans="2:17">
      <c r="B981" s="334"/>
      <c r="C981" s="725">
        <f>IF(D956="","-",+C980+1)</f>
        <v>2033</v>
      </c>
      <c r="D981" s="676">
        <f t="shared" si="94"/>
        <v>182065.97316384182</v>
      </c>
      <c r="E981" s="732">
        <f t="shared" si="95"/>
        <v>4542.1864406779659</v>
      </c>
      <c r="F981" s="732">
        <f t="shared" si="88"/>
        <v>177523.78672316385</v>
      </c>
      <c r="G981" s="676">
        <f t="shared" si="89"/>
        <v>179794.87994350283</v>
      </c>
      <c r="H981" s="726">
        <f>+J957*G981+E981</f>
        <v>23943.200989860736</v>
      </c>
      <c r="I981" s="733">
        <f>+J958*G981+E981</f>
        <v>23943.200989860736</v>
      </c>
      <c r="J981" s="729">
        <f t="shared" si="90"/>
        <v>0</v>
      </c>
      <c r="K981" s="729"/>
      <c r="L981" s="734"/>
      <c r="M981" s="729">
        <f t="shared" si="91"/>
        <v>0</v>
      </c>
      <c r="N981" s="734"/>
      <c r="O981" s="729">
        <f t="shared" si="92"/>
        <v>0</v>
      </c>
      <c r="P981" s="729">
        <f t="shared" si="93"/>
        <v>0</v>
      </c>
      <c r="Q981" s="677"/>
    </row>
    <row r="982" spans="2:17">
      <c r="B982" s="334"/>
      <c r="C982" s="725">
        <f>IF(D956="","-",+C981+1)</f>
        <v>2034</v>
      </c>
      <c r="D982" s="676">
        <f t="shared" si="94"/>
        <v>177523.78672316385</v>
      </c>
      <c r="E982" s="732">
        <f t="shared" si="95"/>
        <v>4542.1864406779659</v>
      </c>
      <c r="F982" s="732">
        <f t="shared" si="88"/>
        <v>172981.60028248589</v>
      </c>
      <c r="G982" s="676">
        <f t="shared" si="89"/>
        <v>175252.69350282487</v>
      </c>
      <c r="H982" s="726">
        <f>+J957*G982+E982</f>
        <v>23453.070095986644</v>
      </c>
      <c r="I982" s="733">
        <f>+J958*G982+E982</f>
        <v>23453.070095986644</v>
      </c>
      <c r="J982" s="729">
        <f t="shared" si="90"/>
        <v>0</v>
      </c>
      <c r="K982" s="729"/>
      <c r="L982" s="734"/>
      <c r="M982" s="729">
        <f t="shared" si="91"/>
        <v>0</v>
      </c>
      <c r="N982" s="734"/>
      <c r="O982" s="729">
        <f t="shared" si="92"/>
        <v>0</v>
      </c>
      <c r="P982" s="729">
        <f t="shared" si="93"/>
        <v>0</v>
      </c>
      <c r="Q982" s="677"/>
    </row>
    <row r="983" spans="2:17">
      <c r="B983" s="334"/>
      <c r="C983" s="725">
        <f>IF(D956="","-",+C982+1)</f>
        <v>2035</v>
      </c>
      <c r="D983" s="676">
        <f t="shared" si="94"/>
        <v>172981.60028248589</v>
      </c>
      <c r="E983" s="732">
        <f t="shared" si="95"/>
        <v>4542.1864406779659</v>
      </c>
      <c r="F983" s="732">
        <f t="shared" si="88"/>
        <v>168439.41384180792</v>
      </c>
      <c r="G983" s="676">
        <f t="shared" si="89"/>
        <v>170710.50706214691</v>
      </c>
      <c r="H983" s="726">
        <f>+J957*G983+E983</f>
        <v>22962.939202112553</v>
      </c>
      <c r="I983" s="733">
        <f>+J958*G983+E983</f>
        <v>22962.939202112553</v>
      </c>
      <c r="J983" s="729">
        <f t="shared" si="90"/>
        <v>0</v>
      </c>
      <c r="K983" s="729"/>
      <c r="L983" s="734"/>
      <c r="M983" s="729">
        <f t="shared" si="91"/>
        <v>0</v>
      </c>
      <c r="N983" s="734"/>
      <c r="O983" s="729">
        <f t="shared" si="92"/>
        <v>0</v>
      </c>
      <c r="P983" s="729">
        <f t="shared" si="93"/>
        <v>0</v>
      </c>
      <c r="Q983" s="677"/>
    </row>
    <row r="984" spans="2:17">
      <c r="B984" s="334"/>
      <c r="C984" s="725">
        <f>IF(D956="","-",+C983+1)</f>
        <v>2036</v>
      </c>
      <c r="D984" s="676">
        <f t="shared" si="94"/>
        <v>168439.41384180792</v>
      </c>
      <c r="E984" s="732">
        <f t="shared" si="95"/>
        <v>4542.1864406779659</v>
      </c>
      <c r="F984" s="732">
        <f t="shared" si="88"/>
        <v>163897.22740112996</v>
      </c>
      <c r="G984" s="676">
        <f t="shared" si="89"/>
        <v>166168.32062146894</v>
      </c>
      <c r="H984" s="726">
        <f>+J957*G984+E984</f>
        <v>22472.808308238462</v>
      </c>
      <c r="I984" s="733">
        <f>+J958*G984+E984</f>
        <v>22472.808308238462</v>
      </c>
      <c r="J984" s="729">
        <f t="shared" si="90"/>
        <v>0</v>
      </c>
      <c r="K984" s="729"/>
      <c r="L984" s="734"/>
      <c r="M984" s="729">
        <f t="shared" si="91"/>
        <v>0</v>
      </c>
      <c r="N984" s="734"/>
      <c r="O984" s="729">
        <f t="shared" si="92"/>
        <v>0</v>
      </c>
      <c r="P984" s="729">
        <f t="shared" si="93"/>
        <v>0</v>
      </c>
      <c r="Q984" s="677"/>
    </row>
    <row r="985" spans="2:17">
      <c r="B985" s="334"/>
      <c r="C985" s="725">
        <f>IF(D956="","-",+C984+1)</f>
        <v>2037</v>
      </c>
      <c r="D985" s="676">
        <f t="shared" si="94"/>
        <v>163897.22740112996</v>
      </c>
      <c r="E985" s="732">
        <f t="shared" si="95"/>
        <v>4542.1864406779659</v>
      </c>
      <c r="F985" s="732">
        <f t="shared" si="88"/>
        <v>159355.040960452</v>
      </c>
      <c r="G985" s="676">
        <f t="shared" si="89"/>
        <v>161626.13418079098</v>
      </c>
      <c r="H985" s="726">
        <f>+J957*G985+E985</f>
        <v>21982.677414364371</v>
      </c>
      <c r="I985" s="733">
        <f>+J958*G985+E985</f>
        <v>21982.677414364371</v>
      </c>
      <c r="J985" s="729">
        <f t="shared" si="90"/>
        <v>0</v>
      </c>
      <c r="K985" s="729"/>
      <c r="L985" s="734"/>
      <c r="M985" s="729">
        <f t="shared" si="91"/>
        <v>0</v>
      </c>
      <c r="N985" s="734"/>
      <c r="O985" s="729">
        <f t="shared" si="92"/>
        <v>0</v>
      </c>
      <c r="P985" s="729">
        <f t="shared" si="93"/>
        <v>0</v>
      </c>
      <c r="Q985" s="677"/>
    </row>
    <row r="986" spans="2:17">
      <c r="B986" s="334"/>
      <c r="C986" s="725">
        <f>IF(D956="","-",+C985+1)</f>
        <v>2038</v>
      </c>
      <c r="D986" s="676">
        <f t="shared" si="94"/>
        <v>159355.040960452</v>
      </c>
      <c r="E986" s="732">
        <f t="shared" si="95"/>
        <v>4542.1864406779659</v>
      </c>
      <c r="F986" s="732">
        <f t="shared" si="88"/>
        <v>154812.85451977403</v>
      </c>
      <c r="G986" s="676">
        <f t="shared" si="89"/>
        <v>157083.94774011301</v>
      </c>
      <c r="H986" s="726">
        <f>+J957*G986+E986</f>
        <v>21492.546520490279</v>
      </c>
      <c r="I986" s="733">
        <f>+J958*G986+E986</f>
        <v>21492.546520490279</v>
      </c>
      <c r="J986" s="729">
        <f t="shared" si="90"/>
        <v>0</v>
      </c>
      <c r="K986" s="729"/>
      <c r="L986" s="734"/>
      <c r="M986" s="729">
        <f t="shared" si="91"/>
        <v>0</v>
      </c>
      <c r="N986" s="734"/>
      <c r="O986" s="729">
        <f t="shared" si="92"/>
        <v>0</v>
      </c>
      <c r="P986" s="729">
        <f t="shared" si="93"/>
        <v>0</v>
      </c>
      <c r="Q986" s="677"/>
    </row>
    <row r="987" spans="2:17">
      <c r="B987" s="334"/>
      <c r="C987" s="725">
        <f>IF(D956="","-",+C986+1)</f>
        <v>2039</v>
      </c>
      <c r="D987" s="676">
        <f t="shared" si="94"/>
        <v>154812.85451977403</v>
      </c>
      <c r="E987" s="732">
        <f t="shared" si="95"/>
        <v>4542.1864406779659</v>
      </c>
      <c r="F987" s="732">
        <f t="shared" si="88"/>
        <v>150270.66807909607</v>
      </c>
      <c r="G987" s="676">
        <f t="shared" si="89"/>
        <v>152541.76129943505</v>
      </c>
      <c r="H987" s="726">
        <f>+J957*G987+E987</f>
        <v>21002.415626616188</v>
      </c>
      <c r="I987" s="733">
        <f>+J958*G987+E987</f>
        <v>21002.415626616188</v>
      </c>
      <c r="J987" s="729">
        <f t="shared" si="90"/>
        <v>0</v>
      </c>
      <c r="K987" s="729"/>
      <c r="L987" s="734"/>
      <c r="M987" s="729">
        <f t="shared" si="91"/>
        <v>0</v>
      </c>
      <c r="N987" s="734"/>
      <c r="O987" s="729">
        <f t="shared" si="92"/>
        <v>0</v>
      </c>
      <c r="P987" s="729">
        <f t="shared" si="93"/>
        <v>0</v>
      </c>
      <c r="Q987" s="677"/>
    </row>
    <row r="988" spans="2:17">
      <c r="B988" s="334"/>
      <c r="C988" s="725">
        <f>IF(D956="","-",+C987+1)</f>
        <v>2040</v>
      </c>
      <c r="D988" s="676">
        <f t="shared" si="94"/>
        <v>150270.66807909607</v>
      </c>
      <c r="E988" s="732">
        <f t="shared" si="95"/>
        <v>4542.1864406779659</v>
      </c>
      <c r="F988" s="732">
        <f t="shared" si="88"/>
        <v>145728.4816384181</v>
      </c>
      <c r="G988" s="676">
        <f t="shared" si="89"/>
        <v>147999.57485875709</v>
      </c>
      <c r="H988" s="726">
        <f>+J957*G988+E988</f>
        <v>20512.284732742097</v>
      </c>
      <c r="I988" s="733">
        <f>+J958*G988+E988</f>
        <v>20512.284732742097</v>
      </c>
      <c r="J988" s="729">
        <f t="shared" si="90"/>
        <v>0</v>
      </c>
      <c r="K988" s="729"/>
      <c r="L988" s="734"/>
      <c r="M988" s="729">
        <f t="shared" si="91"/>
        <v>0</v>
      </c>
      <c r="N988" s="734"/>
      <c r="O988" s="729">
        <f t="shared" si="92"/>
        <v>0</v>
      </c>
      <c r="P988" s="729">
        <f t="shared" si="93"/>
        <v>0</v>
      </c>
      <c r="Q988" s="677"/>
    </row>
    <row r="989" spans="2:17">
      <c r="B989" s="334"/>
      <c r="C989" s="725">
        <f>IF(D956="","-",+C988+1)</f>
        <v>2041</v>
      </c>
      <c r="D989" s="676">
        <f t="shared" si="94"/>
        <v>145728.4816384181</v>
      </c>
      <c r="E989" s="732">
        <f t="shared" si="95"/>
        <v>4542.1864406779659</v>
      </c>
      <c r="F989" s="732">
        <f t="shared" si="88"/>
        <v>141186.29519774014</v>
      </c>
      <c r="G989" s="676">
        <f t="shared" si="89"/>
        <v>143457.38841807912</v>
      </c>
      <c r="H989" s="726">
        <f>+J957*G989+E989</f>
        <v>20022.153838868006</v>
      </c>
      <c r="I989" s="733">
        <f>+J958*G989+E989</f>
        <v>20022.153838868006</v>
      </c>
      <c r="J989" s="729">
        <f t="shared" si="90"/>
        <v>0</v>
      </c>
      <c r="K989" s="729"/>
      <c r="L989" s="734"/>
      <c r="M989" s="729">
        <f t="shared" si="91"/>
        <v>0</v>
      </c>
      <c r="N989" s="734"/>
      <c r="O989" s="729">
        <f t="shared" si="92"/>
        <v>0</v>
      </c>
      <c r="P989" s="729">
        <f t="shared" si="93"/>
        <v>0</v>
      </c>
      <c r="Q989" s="677"/>
    </row>
    <row r="990" spans="2:17">
      <c r="B990" s="334"/>
      <c r="C990" s="725">
        <f>IF(D956="","-",+C989+1)</f>
        <v>2042</v>
      </c>
      <c r="D990" s="676">
        <f t="shared" si="94"/>
        <v>141186.29519774014</v>
      </c>
      <c r="E990" s="732">
        <f t="shared" si="95"/>
        <v>4542.1864406779659</v>
      </c>
      <c r="F990" s="732">
        <f t="shared" si="88"/>
        <v>136644.10875706217</v>
      </c>
      <c r="G990" s="676">
        <f t="shared" si="89"/>
        <v>138915.20197740116</v>
      </c>
      <c r="H990" s="726">
        <f>+J957*G990+E990</f>
        <v>19532.022944993918</v>
      </c>
      <c r="I990" s="733">
        <f>+J958*G990+E990</f>
        <v>19532.022944993918</v>
      </c>
      <c r="J990" s="729">
        <f t="shared" si="90"/>
        <v>0</v>
      </c>
      <c r="K990" s="729"/>
      <c r="L990" s="734"/>
      <c r="M990" s="729">
        <f t="shared" si="91"/>
        <v>0</v>
      </c>
      <c r="N990" s="734"/>
      <c r="O990" s="729">
        <f t="shared" si="92"/>
        <v>0</v>
      </c>
      <c r="P990" s="729">
        <f t="shared" si="93"/>
        <v>0</v>
      </c>
      <c r="Q990" s="677"/>
    </row>
    <row r="991" spans="2:17">
      <c r="B991" s="334"/>
      <c r="C991" s="725">
        <f>IF(D956="","-",+C990+1)</f>
        <v>2043</v>
      </c>
      <c r="D991" s="676">
        <f t="shared" si="94"/>
        <v>136644.10875706217</v>
      </c>
      <c r="E991" s="732">
        <f t="shared" si="95"/>
        <v>4542.1864406779659</v>
      </c>
      <c r="F991" s="732">
        <f t="shared" si="88"/>
        <v>132101.92231638421</v>
      </c>
      <c r="G991" s="676">
        <f t="shared" si="89"/>
        <v>134373.01553672319</v>
      </c>
      <c r="H991" s="726">
        <f>+J957*G991+E991</f>
        <v>19041.892051119827</v>
      </c>
      <c r="I991" s="733">
        <f>+J958*G991+E991</f>
        <v>19041.892051119827</v>
      </c>
      <c r="J991" s="729">
        <f t="shared" si="90"/>
        <v>0</v>
      </c>
      <c r="K991" s="729"/>
      <c r="L991" s="734"/>
      <c r="M991" s="729">
        <f t="shared" si="91"/>
        <v>0</v>
      </c>
      <c r="N991" s="734"/>
      <c r="O991" s="729">
        <f t="shared" si="92"/>
        <v>0</v>
      </c>
      <c r="P991" s="729">
        <f t="shared" si="93"/>
        <v>0</v>
      </c>
      <c r="Q991" s="677"/>
    </row>
    <row r="992" spans="2:17">
      <c r="B992" s="334"/>
      <c r="C992" s="725">
        <f>IF(D956="","-",+C991+1)</f>
        <v>2044</v>
      </c>
      <c r="D992" s="676">
        <f t="shared" si="94"/>
        <v>132101.92231638421</v>
      </c>
      <c r="E992" s="732">
        <f t="shared" si="95"/>
        <v>4542.1864406779659</v>
      </c>
      <c r="F992" s="732">
        <f t="shared" si="88"/>
        <v>127559.73587570625</v>
      </c>
      <c r="G992" s="676">
        <f t="shared" si="89"/>
        <v>129830.82909604523</v>
      </c>
      <c r="H992" s="726">
        <f>+J957*G992+E992</f>
        <v>18551.761157245735</v>
      </c>
      <c r="I992" s="733">
        <f>+J958*G992+E992</f>
        <v>18551.761157245735</v>
      </c>
      <c r="J992" s="729">
        <f t="shared" si="90"/>
        <v>0</v>
      </c>
      <c r="K992" s="729"/>
      <c r="L992" s="734"/>
      <c r="M992" s="729">
        <f t="shared" si="91"/>
        <v>0</v>
      </c>
      <c r="N992" s="734"/>
      <c r="O992" s="729">
        <f t="shared" si="92"/>
        <v>0</v>
      </c>
      <c r="P992" s="729">
        <f t="shared" si="93"/>
        <v>0</v>
      </c>
      <c r="Q992" s="677"/>
    </row>
    <row r="993" spans="2:17">
      <c r="B993" s="334"/>
      <c r="C993" s="725">
        <f>IF(D956="","-",+C992+1)</f>
        <v>2045</v>
      </c>
      <c r="D993" s="676">
        <f t="shared" si="94"/>
        <v>127559.73587570625</v>
      </c>
      <c r="E993" s="732">
        <f t="shared" si="95"/>
        <v>4542.1864406779659</v>
      </c>
      <c r="F993" s="732">
        <f t="shared" si="88"/>
        <v>123017.54943502828</v>
      </c>
      <c r="G993" s="676">
        <f t="shared" si="89"/>
        <v>125288.64265536726</v>
      </c>
      <c r="H993" s="726">
        <f>+J957*G993+E993</f>
        <v>18061.630263371644</v>
      </c>
      <c r="I993" s="733">
        <f>+J958*G993+E993</f>
        <v>18061.630263371644</v>
      </c>
      <c r="J993" s="729">
        <f t="shared" si="90"/>
        <v>0</v>
      </c>
      <c r="K993" s="729"/>
      <c r="L993" s="734"/>
      <c r="M993" s="729">
        <f t="shared" si="91"/>
        <v>0</v>
      </c>
      <c r="N993" s="734"/>
      <c r="O993" s="729">
        <f t="shared" si="92"/>
        <v>0</v>
      </c>
      <c r="P993" s="729">
        <f t="shared" si="93"/>
        <v>0</v>
      </c>
      <c r="Q993" s="677"/>
    </row>
    <row r="994" spans="2:17">
      <c r="B994" s="334"/>
      <c r="C994" s="725">
        <f>IF(D956="","-",+C993+1)</f>
        <v>2046</v>
      </c>
      <c r="D994" s="676">
        <f t="shared" si="94"/>
        <v>123017.54943502828</v>
      </c>
      <c r="E994" s="732">
        <f t="shared" si="95"/>
        <v>4542.1864406779659</v>
      </c>
      <c r="F994" s="732">
        <f t="shared" si="88"/>
        <v>118475.36299435032</v>
      </c>
      <c r="G994" s="676">
        <f t="shared" si="89"/>
        <v>120746.4562146893</v>
      </c>
      <c r="H994" s="726">
        <f>+J957*G994+E994</f>
        <v>17571.499369497556</v>
      </c>
      <c r="I994" s="733">
        <f>+J958*G994+E994</f>
        <v>17571.499369497556</v>
      </c>
      <c r="J994" s="729">
        <f t="shared" si="90"/>
        <v>0</v>
      </c>
      <c r="K994" s="729"/>
      <c r="L994" s="734"/>
      <c r="M994" s="729">
        <f t="shared" si="91"/>
        <v>0</v>
      </c>
      <c r="N994" s="734"/>
      <c r="O994" s="729">
        <f t="shared" si="92"/>
        <v>0</v>
      </c>
      <c r="P994" s="729">
        <f t="shared" si="93"/>
        <v>0</v>
      </c>
      <c r="Q994" s="677"/>
    </row>
    <row r="995" spans="2:17">
      <c r="B995" s="334"/>
      <c r="C995" s="725">
        <f>IF(D956="","-",+C994+1)</f>
        <v>2047</v>
      </c>
      <c r="D995" s="676">
        <f t="shared" si="94"/>
        <v>118475.36299435032</v>
      </c>
      <c r="E995" s="732">
        <f t="shared" si="95"/>
        <v>4542.1864406779659</v>
      </c>
      <c r="F995" s="732">
        <f t="shared" si="88"/>
        <v>113933.17655367235</v>
      </c>
      <c r="G995" s="676">
        <f t="shared" si="89"/>
        <v>116204.26977401134</v>
      </c>
      <c r="H995" s="726">
        <f>+J957*G995+E995</f>
        <v>17081.368475623465</v>
      </c>
      <c r="I995" s="733">
        <f>+J958*G995+E995</f>
        <v>17081.368475623465</v>
      </c>
      <c r="J995" s="729">
        <f t="shared" si="90"/>
        <v>0</v>
      </c>
      <c r="K995" s="729"/>
      <c r="L995" s="734"/>
      <c r="M995" s="729">
        <f t="shared" si="91"/>
        <v>0</v>
      </c>
      <c r="N995" s="734"/>
      <c r="O995" s="729">
        <f t="shared" si="92"/>
        <v>0</v>
      </c>
      <c r="P995" s="729">
        <f t="shared" si="93"/>
        <v>0</v>
      </c>
      <c r="Q995" s="677"/>
    </row>
    <row r="996" spans="2:17">
      <c r="B996" s="334"/>
      <c r="C996" s="725">
        <f>IF(D956="","-",+C995+1)</f>
        <v>2048</v>
      </c>
      <c r="D996" s="676">
        <f t="shared" si="94"/>
        <v>113933.17655367235</v>
      </c>
      <c r="E996" s="732">
        <f t="shared" si="95"/>
        <v>4542.1864406779659</v>
      </c>
      <c r="F996" s="732">
        <f t="shared" si="88"/>
        <v>109390.99011299439</v>
      </c>
      <c r="G996" s="676">
        <f t="shared" si="89"/>
        <v>111662.08333333337</v>
      </c>
      <c r="H996" s="726">
        <f>+J957*G996+E996</f>
        <v>16591.237581749374</v>
      </c>
      <c r="I996" s="733">
        <f>+J958*G996+E996</f>
        <v>16591.237581749374</v>
      </c>
      <c r="J996" s="729">
        <f t="shared" si="90"/>
        <v>0</v>
      </c>
      <c r="K996" s="729"/>
      <c r="L996" s="734"/>
      <c r="M996" s="729">
        <f t="shared" si="91"/>
        <v>0</v>
      </c>
      <c r="N996" s="734"/>
      <c r="O996" s="729">
        <f t="shared" si="92"/>
        <v>0</v>
      </c>
      <c r="P996" s="729">
        <f t="shared" si="93"/>
        <v>0</v>
      </c>
      <c r="Q996" s="677"/>
    </row>
    <row r="997" spans="2:17">
      <c r="B997" s="334"/>
      <c r="C997" s="725">
        <f>IF(D956="","-",+C996+1)</f>
        <v>2049</v>
      </c>
      <c r="D997" s="676">
        <f t="shared" si="94"/>
        <v>109390.99011299439</v>
      </c>
      <c r="E997" s="732">
        <f t="shared" si="95"/>
        <v>4542.1864406779659</v>
      </c>
      <c r="F997" s="732">
        <f t="shared" si="88"/>
        <v>104848.80367231643</v>
      </c>
      <c r="G997" s="676">
        <f t="shared" si="89"/>
        <v>107119.89689265541</v>
      </c>
      <c r="H997" s="726">
        <f>+J957*G997+E997</f>
        <v>16101.106687875283</v>
      </c>
      <c r="I997" s="733">
        <f>+J958*G997+E997</f>
        <v>16101.106687875283</v>
      </c>
      <c r="J997" s="729">
        <f t="shared" si="90"/>
        <v>0</v>
      </c>
      <c r="K997" s="729"/>
      <c r="L997" s="734"/>
      <c r="M997" s="729">
        <f t="shared" si="91"/>
        <v>0</v>
      </c>
      <c r="N997" s="734"/>
      <c r="O997" s="729">
        <f t="shared" si="92"/>
        <v>0</v>
      </c>
      <c r="P997" s="729">
        <f t="shared" si="93"/>
        <v>0</v>
      </c>
      <c r="Q997" s="677"/>
    </row>
    <row r="998" spans="2:17">
      <c r="B998" s="334"/>
      <c r="C998" s="725">
        <f>IF(D956="","-",+C997+1)</f>
        <v>2050</v>
      </c>
      <c r="D998" s="676">
        <f t="shared" si="94"/>
        <v>104848.80367231643</v>
      </c>
      <c r="E998" s="732">
        <f t="shared" si="95"/>
        <v>4542.1864406779659</v>
      </c>
      <c r="F998" s="732">
        <f t="shared" si="88"/>
        <v>100306.61723163846</v>
      </c>
      <c r="G998" s="676">
        <f t="shared" si="89"/>
        <v>102577.71045197744</v>
      </c>
      <c r="H998" s="726">
        <f>+J957*G998+E998</f>
        <v>15610.975794001191</v>
      </c>
      <c r="I998" s="733">
        <f>+J958*G998+E998</f>
        <v>15610.975794001191</v>
      </c>
      <c r="J998" s="729">
        <f t="shared" si="90"/>
        <v>0</v>
      </c>
      <c r="K998" s="729"/>
      <c r="L998" s="734"/>
      <c r="M998" s="729">
        <f t="shared" si="91"/>
        <v>0</v>
      </c>
      <c r="N998" s="734"/>
      <c r="O998" s="729">
        <f t="shared" si="92"/>
        <v>0</v>
      </c>
      <c r="P998" s="729">
        <f t="shared" si="93"/>
        <v>0</v>
      </c>
      <c r="Q998" s="677"/>
    </row>
    <row r="999" spans="2:17">
      <c r="B999" s="334"/>
      <c r="C999" s="725">
        <f>IF(D956="","-",+C998+1)</f>
        <v>2051</v>
      </c>
      <c r="D999" s="676">
        <f t="shared" si="94"/>
        <v>100306.61723163846</v>
      </c>
      <c r="E999" s="732">
        <f t="shared" si="95"/>
        <v>4542.1864406779659</v>
      </c>
      <c r="F999" s="732">
        <f t="shared" si="88"/>
        <v>95764.430790960498</v>
      </c>
      <c r="G999" s="676">
        <f t="shared" si="89"/>
        <v>98035.52401129948</v>
      </c>
      <c r="H999" s="726">
        <f>+J957*G999+E999</f>
        <v>15120.8449001271</v>
      </c>
      <c r="I999" s="733">
        <f>+J958*G999+E999</f>
        <v>15120.8449001271</v>
      </c>
      <c r="J999" s="729">
        <f t="shared" si="90"/>
        <v>0</v>
      </c>
      <c r="K999" s="729"/>
      <c r="L999" s="734"/>
      <c r="M999" s="729">
        <f t="shared" si="91"/>
        <v>0</v>
      </c>
      <c r="N999" s="734"/>
      <c r="O999" s="729">
        <f t="shared" si="92"/>
        <v>0</v>
      </c>
      <c r="P999" s="729">
        <f t="shared" si="93"/>
        <v>0</v>
      </c>
      <c r="Q999" s="677"/>
    </row>
    <row r="1000" spans="2:17">
      <c r="B1000" s="334"/>
      <c r="C1000" s="725">
        <f>IF(D956="","-",+C999+1)</f>
        <v>2052</v>
      </c>
      <c r="D1000" s="676">
        <f t="shared" si="94"/>
        <v>95764.430790960498</v>
      </c>
      <c r="E1000" s="732">
        <f t="shared" si="95"/>
        <v>4542.1864406779659</v>
      </c>
      <c r="F1000" s="732">
        <f t="shared" si="88"/>
        <v>91222.244350282534</v>
      </c>
      <c r="G1000" s="676">
        <f t="shared" si="89"/>
        <v>93493.337570621516</v>
      </c>
      <c r="H1000" s="726">
        <f>+J957*G1000+E1000</f>
        <v>14630.714006253009</v>
      </c>
      <c r="I1000" s="733">
        <f>+J958*G1000+E1000</f>
        <v>14630.714006253009</v>
      </c>
      <c r="J1000" s="729">
        <f t="shared" si="90"/>
        <v>0</v>
      </c>
      <c r="K1000" s="729"/>
      <c r="L1000" s="734"/>
      <c r="M1000" s="729">
        <f t="shared" si="91"/>
        <v>0</v>
      </c>
      <c r="N1000" s="734"/>
      <c r="O1000" s="729">
        <f t="shared" si="92"/>
        <v>0</v>
      </c>
      <c r="P1000" s="729">
        <f t="shared" si="93"/>
        <v>0</v>
      </c>
      <c r="Q1000" s="677"/>
    </row>
    <row r="1001" spans="2:17">
      <c r="B1001" s="334"/>
      <c r="C1001" s="725">
        <f>IF(D956="","-",+C1000+1)</f>
        <v>2053</v>
      </c>
      <c r="D1001" s="676">
        <f t="shared" si="94"/>
        <v>91222.244350282534</v>
      </c>
      <c r="E1001" s="732">
        <f t="shared" si="95"/>
        <v>4542.1864406779659</v>
      </c>
      <c r="F1001" s="732">
        <f t="shared" si="88"/>
        <v>86680.057909604569</v>
      </c>
      <c r="G1001" s="676">
        <f t="shared" si="89"/>
        <v>88951.151129943551</v>
      </c>
      <c r="H1001" s="726">
        <f>+J957*G1001+E1001</f>
        <v>14140.583112378919</v>
      </c>
      <c r="I1001" s="733">
        <f>+J958*G1001+E1001</f>
        <v>14140.583112378919</v>
      </c>
      <c r="J1001" s="729">
        <f t="shared" si="90"/>
        <v>0</v>
      </c>
      <c r="K1001" s="729"/>
      <c r="L1001" s="734"/>
      <c r="M1001" s="729">
        <f t="shared" si="91"/>
        <v>0</v>
      </c>
      <c r="N1001" s="734"/>
      <c r="O1001" s="729">
        <f t="shared" si="92"/>
        <v>0</v>
      </c>
      <c r="P1001" s="729">
        <f t="shared" si="93"/>
        <v>0</v>
      </c>
      <c r="Q1001" s="677"/>
    </row>
    <row r="1002" spans="2:17">
      <c r="B1002" s="334"/>
      <c r="C1002" s="725">
        <f>IF(D956="","-",+C1001+1)</f>
        <v>2054</v>
      </c>
      <c r="D1002" s="676">
        <f t="shared" si="94"/>
        <v>86680.057909604569</v>
      </c>
      <c r="E1002" s="732">
        <f t="shared" si="95"/>
        <v>4542.1864406779659</v>
      </c>
      <c r="F1002" s="732">
        <f t="shared" si="88"/>
        <v>82137.871468926605</v>
      </c>
      <c r="G1002" s="676">
        <f t="shared" si="89"/>
        <v>84408.964689265587</v>
      </c>
      <c r="H1002" s="726">
        <f>+J957*G1002+E1002</f>
        <v>13650.452218504828</v>
      </c>
      <c r="I1002" s="733">
        <f>+J958*G1002+E1002</f>
        <v>13650.452218504828</v>
      </c>
      <c r="J1002" s="729">
        <f t="shared" si="90"/>
        <v>0</v>
      </c>
      <c r="K1002" s="729"/>
      <c r="L1002" s="734"/>
      <c r="M1002" s="729">
        <f t="shared" si="91"/>
        <v>0</v>
      </c>
      <c r="N1002" s="734"/>
      <c r="O1002" s="729">
        <f t="shared" si="92"/>
        <v>0</v>
      </c>
      <c r="P1002" s="729">
        <f t="shared" si="93"/>
        <v>0</v>
      </c>
      <c r="Q1002" s="677"/>
    </row>
    <row r="1003" spans="2:17">
      <c r="B1003" s="334"/>
      <c r="C1003" s="725">
        <f>IF(D956="","-",+C1002+1)</f>
        <v>2055</v>
      </c>
      <c r="D1003" s="676">
        <f t="shared" si="94"/>
        <v>82137.871468926605</v>
      </c>
      <c r="E1003" s="732">
        <f t="shared" si="95"/>
        <v>4542.1864406779659</v>
      </c>
      <c r="F1003" s="732">
        <f t="shared" si="88"/>
        <v>77595.685028248641</v>
      </c>
      <c r="G1003" s="676">
        <f t="shared" si="89"/>
        <v>79866.778248587623</v>
      </c>
      <c r="H1003" s="726">
        <f>+J957*G1003+E1003</f>
        <v>13160.321324630737</v>
      </c>
      <c r="I1003" s="733">
        <f>+J958*G1003+E1003</f>
        <v>13160.321324630737</v>
      </c>
      <c r="J1003" s="729">
        <f t="shared" si="90"/>
        <v>0</v>
      </c>
      <c r="K1003" s="729"/>
      <c r="L1003" s="734"/>
      <c r="M1003" s="729">
        <f t="shared" si="91"/>
        <v>0</v>
      </c>
      <c r="N1003" s="734"/>
      <c r="O1003" s="729">
        <f t="shared" si="92"/>
        <v>0</v>
      </c>
      <c r="P1003" s="729">
        <f t="shared" si="93"/>
        <v>0</v>
      </c>
      <c r="Q1003" s="677"/>
    </row>
    <row r="1004" spans="2:17">
      <c r="B1004" s="334"/>
      <c r="C1004" s="725">
        <f>IF(D956="","-",+C1003+1)</f>
        <v>2056</v>
      </c>
      <c r="D1004" s="676">
        <f t="shared" si="94"/>
        <v>77595.685028248641</v>
      </c>
      <c r="E1004" s="732">
        <f t="shared" si="95"/>
        <v>4542.1864406779659</v>
      </c>
      <c r="F1004" s="732">
        <f t="shared" si="88"/>
        <v>73053.498587570677</v>
      </c>
      <c r="G1004" s="676">
        <f t="shared" si="89"/>
        <v>75324.591807909659</v>
      </c>
      <c r="H1004" s="726">
        <f>+J957*G1004+E1004</f>
        <v>12670.190430756647</v>
      </c>
      <c r="I1004" s="733">
        <f>+J958*G1004+E1004</f>
        <v>12670.190430756647</v>
      </c>
      <c r="J1004" s="729">
        <f t="shared" si="90"/>
        <v>0</v>
      </c>
      <c r="K1004" s="729"/>
      <c r="L1004" s="734"/>
      <c r="M1004" s="729">
        <f t="shared" si="91"/>
        <v>0</v>
      </c>
      <c r="N1004" s="734"/>
      <c r="O1004" s="729">
        <f t="shared" si="92"/>
        <v>0</v>
      </c>
      <c r="P1004" s="729">
        <f t="shared" si="93"/>
        <v>0</v>
      </c>
      <c r="Q1004" s="677"/>
    </row>
    <row r="1005" spans="2:17">
      <c r="B1005" s="334"/>
      <c r="C1005" s="725">
        <f>IF(D956="","-",+C1004+1)</f>
        <v>2057</v>
      </c>
      <c r="D1005" s="676">
        <f t="shared" si="94"/>
        <v>73053.498587570677</v>
      </c>
      <c r="E1005" s="732">
        <f t="shared" si="95"/>
        <v>4542.1864406779659</v>
      </c>
      <c r="F1005" s="732">
        <f t="shared" si="88"/>
        <v>68511.312146892713</v>
      </c>
      <c r="G1005" s="676">
        <f t="shared" si="89"/>
        <v>70782.405367231695</v>
      </c>
      <c r="H1005" s="726">
        <f>+J957*G1005+E1005</f>
        <v>12180.059536882556</v>
      </c>
      <c r="I1005" s="733">
        <f>+J958*G1005+E1005</f>
        <v>12180.059536882556</v>
      </c>
      <c r="J1005" s="729">
        <f t="shared" si="90"/>
        <v>0</v>
      </c>
      <c r="K1005" s="729"/>
      <c r="L1005" s="734"/>
      <c r="M1005" s="729">
        <f t="shared" si="91"/>
        <v>0</v>
      </c>
      <c r="N1005" s="734"/>
      <c r="O1005" s="729">
        <f t="shared" si="92"/>
        <v>0</v>
      </c>
      <c r="P1005" s="729">
        <f t="shared" si="93"/>
        <v>0</v>
      </c>
      <c r="Q1005" s="677"/>
    </row>
    <row r="1006" spans="2:17">
      <c r="B1006" s="334"/>
      <c r="C1006" s="725">
        <f>IF(D956="","-",+C1005+1)</f>
        <v>2058</v>
      </c>
      <c r="D1006" s="676">
        <f t="shared" si="94"/>
        <v>68511.312146892713</v>
      </c>
      <c r="E1006" s="732">
        <f t="shared" si="95"/>
        <v>4542.1864406779659</v>
      </c>
      <c r="F1006" s="732">
        <f t="shared" si="88"/>
        <v>63969.125706214749</v>
      </c>
      <c r="G1006" s="676">
        <f t="shared" si="89"/>
        <v>66240.218926553731</v>
      </c>
      <c r="H1006" s="726">
        <f>+J957*G1006+E1006</f>
        <v>11689.928643008465</v>
      </c>
      <c r="I1006" s="733">
        <f>+J958*G1006+E1006</f>
        <v>11689.928643008465</v>
      </c>
      <c r="J1006" s="729">
        <f t="shared" si="90"/>
        <v>0</v>
      </c>
      <c r="K1006" s="729"/>
      <c r="L1006" s="734"/>
      <c r="M1006" s="729">
        <f t="shared" si="91"/>
        <v>0</v>
      </c>
      <c r="N1006" s="734"/>
      <c r="O1006" s="729">
        <f t="shared" si="92"/>
        <v>0</v>
      </c>
      <c r="P1006" s="729">
        <f t="shared" si="93"/>
        <v>0</v>
      </c>
      <c r="Q1006" s="677"/>
    </row>
    <row r="1007" spans="2:17">
      <c r="B1007" s="334"/>
      <c r="C1007" s="725">
        <f>IF(D956="","-",+C1006+1)</f>
        <v>2059</v>
      </c>
      <c r="D1007" s="676">
        <f t="shared" si="94"/>
        <v>63969.125706214749</v>
      </c>
      <c r="E1007" s="732">
        <f t="shared" si="95"/>
        <v>4542.1864406779659</v>
      </c>
      <c r="F1007" s="732">
        <f t="shared" si="88"/>
        <v>59426.939265536785</v>
      </c>
      <c r="G1007" s="676">
        <f t="shared" si="89"/>
        <v>61698.032485875767</v>
      </c>
      <c r="H1007" s="726">
        <f>+J957*G1007+E1007</f>
        <v>11199.797749134374</v>
      </c>
      <c r="I1007" s="733">
        <f>+J958*G1007+E1007</f>
        <v>11199.797749134374</v>
      </c>
      <c r="J1007" s="729">
        <f t="shared" si="90"/>
        <v>0</v>
      </c>
      <c r="K1007" s="729"/>
      <c r="L1007" s="734"/>
      <c r="M1007" s="729">
        <f t="shared" si="91"/>
        <v>0</v>
      </c>
      <c r="N1007" s="734"/>
      <c r="O1007" s="729">
        <f t="shared" si="92"/>
        <v>0</v>
      </c>
      <c r="P1007" s="729">
        <f t="shared" si="93"/>
        <v>0</v>
      </c>
      <c r="Q1007" s="677"/>
    </row>
    <row r="1008" spans="2:17">
      <c r="B1008" s="334"/>
      <c r="C1008" s="725">
        <f>IF(D956="","-",+C1007+1)</f>
        <v>2060</v>
      </c>
      <c r="D1008" s="676">
        <f t="shared" si="94"/>
        <v>59426.939265536785</v>
      </c>
      <c r="E1008" s="732">
        <f t="shared" si="95"/>
        <v>4542.1864406779659</v>
      </c>
      <c r="F1008" s="732">
        <f t="shared" si="88"/>
        <v>54884.752824858821</v>
      </c>
      <c r="G1008" s="676">
        <f t="shared" si="89"/>
        <v>57155.846045197803</v>
      </c>
      <c r="H1008" s="726">
        <f>+J957*G1008+E1008</f>
        <v>10709.666855260284</v>
      </c>
      <c r="I1008" s="733">
        <f>+J958*G1008+E1008</f>
        <v>10709.666855260284</v>
      </c>
      <c r="J1008" s="729">
        <f t="shared" si="90"/>
        <v>0</v>
      </c>
      <c r="K1008" s="729"/>
      <c r="L1008" s="734"/>
      <c r="M1008" s="729">
        <f t="shared" si="91"/>
        <v>0</v>
      </c>
      <c r="N1008" s="734"/>
      <c r="O1008" s="729">
        <f t="shared" si="92"/>
        <v>0</v>
      </c>
      <c r="P1008" s="729">
        <f t="shared" si="93"/>
        <v>0</v>
      </c>
      <c r="Q1008" s="677"/>
    </row>
    <row r="1009" spans="2:17">
      <c r="B1009" s="334"/>
      <c r="C1009" s="725">
        <f>IF(D956="","-",+C1008+1)</f>
        <v>2061</v>
      </c>
      <c r="D1009" s="676">
        <f t="shared" si="94"/>
        <v>54884.752824858821</v>
      </c>
      <c r="E1009" s="732">
        <f t="shared" si="95"/>
        <v>4542.1864406779659</v>
      </c>
      <c r="F1009" s="732">
        <f t="shared" si="88"/>
        <v>50342.566384180856</v>
      </c>
      <c r="G1009" s="676">
        <f t="shared" si="89"/>
        <v>52613.659604519838</v>
      </c>
      <c r="H1009" s="726">
        <f>+J957*G1009+E1009</f>
        <v>10219.535961386193</v>
      </c>
      <c r="I1009" s="733">
        <f>+J958*G1009+E1009</f>
        <v>10219.535961386193</v>
      </c>
      <c r="J1009" s="729">
        <f t="shared" si="90"/>
        <v>0</v>
      </c>
      <c r="K1009" s="729"/>
      <c r="L1009" s="734"/>
      <c r="M1009" s="729">
        <f t="shared" si="91"/>
        <v>0</v>
      </c>
      <c r="N1009" s="734"/>
      <c r="O1009" s="729">
        <f t="shared" si="92"/>
        <v>0</v>
      </c>
      <c r="P1009" s="729">
        <f t="shared" si="93"/>
        <v>0</v>
      </c>
      <c r="Q1009" s="677"/>
    </row>
    <row r="1010" spans="2:17">
      <c r="B1010" s="334"/>
      <c r="C1010" s="725">
        <f>IF(D956="","-",+C1009+1)</f>
        <v>2062</v>
      </c>
      <c r="D1010" s="676">
        <f t="shared" si="94"/>
        <v>50342.566384180856</v>
      </c>
      <c r="E1010" s="732">
        <f t="shared" si="95"/>
        <v>4542.1864406779659</v>
      </c>
      <c r="F1010" s="732">
        <f t="shared" si="88"/>
        <v>45800.379943502892</v>
      </c>
      <c r="G1010" s="676">
        <f t="shared" si="89"/>
        <v>48071.473163841874</v>
      </c>
      <c r="H1010" s="726">
        <f>+J957*G1010+E1010</f>
        <v>9729.4050675121034</v>
      </c>
      <c r="I1010" s="733">
        <f>+J958*G1010+E1010</f>
        <v>9729.4050675121034</v>
      </c>
      <c r="J1010" s="729">
        <f t="shared" si="90"/>
        <v>0</v>
      </c>
      <c r="K1010" s="729"/>
      <c r="L1010" s="734"/>
      <c r="M1010" s="729">
        <f t="shared" si="91"/>
        <v>0</v>
      </c>
      <c r="N1010" s="734"/>
      <c r="O1010" s="729">
        <f t="shared" si="92"/>
        <v>0</v>
      </c>
      <c r="P1010" s="729">
        <f t="shared" si="93"/>
        <v>0</v>
      </c>
      <c r="Q1010" s="677"/>
    </row>
    <row r="1011" spans="2:17">
      <c r="B1011" s="334"/>
      <c r="C1011" s="725">
        <f>IF(D956="","-",+C1010+1)</f>
        <v>2063</v>
      </c>
      <c r="D1011" s="676">
        <f t="shared" si="94"/>
        <v>45800.379943502892</v>
      </c>
      <c r="E1011" s="732">
        <f t="shared" si="95"/>
        <v>4542.1864406779659</v>
      </c>
      <c r="F1011" s="732">
        <f t="shared" si="88"/>
        <v>41258.193502824928</v>
      </c>
      <c r="G1011" s="676">
        <f t="shared" si="89"/>
        <v>43529.28672316391</v>
      </c>
      <c r="H1011" s="726">
        <f>+J957*G1011+E1011</f>
        <v>9239.2741736380121</v>
      </c>
      <c r="I1011" s="733">
        <f>+J958*G1011+E1011</f>
        <v>9239.2741736380121</v>
      </c>
      <c r="J1011" s="729">
        <f t="shared" si="90"/>
        <v>0</v>
      </c>
      <c r="K1011" s="729"/>
      <c r="L1011" s="734"/>
      <c r="M1011" s="729">
        <f t="shared" si="91"/>
        <v>0</v>
      </c>
      <c r="N1011" s="734"/>
      <c r="O1011" s="729">
        <f t="shared" si="92"/>
        <v>0</v>
      </c>
      <c r="P1011" s="729">
        <f t="shared" si="93"/>
        <v>0</v>
      </c>
      <c r="Q1011" s="677"/>
    </row>
    <row r="1012" spans="2:17">
      <c r="B1012" s="334"/>
      <c r="C1012" s="725">
        <f>IF(D956="","-",+C1011+1)</f>
        <v>2064</v>
      </c>
      <c r="D1012" s="676">
        <f t="shared" si="94"/>
        <v>41258.193502824928</v>
      </c>
      <c r="E1012" s="732">
        <f t="shared" si="95"/>
        <v>4542.1864406779659</v>
      </c>
      <c r="F1012" s="732">
        <f t="shared" si="88"/>
        <v>36716.007062146964</v>
      </c>
      <c r="G1012" s="676">
        <f t="shared" si="89"/>
        <v>38987.100282485946</v>
      </c>
      <c r="H1012" s="726">
        <f>+J957*G1012+E1012</f>
        <v>8749.1432797639209</v>
      </c>
      <c r="I1012" s="733">
        <f>+J958*G1012+E1012</f>
        <v>8749.1432797639209</v>
      </c>
      <c r="J1012" s="729">
        <f t="shared" si="90"/>
        <v>0</v>
      </c>
      <c r="K1012" s="729"/>
      <c r="L1012" s="734"/>
      <c r="M1012" s="729">
        <f t="shared" si="91"/>
        <v>0</v>
      </c>
      <c r="N1012" s="734"/>
      <c r="O1012" s="729">
        <f t="shared" si="92"/>
        <v>0</v>
      </c>
      <c r="P1012" s="729">
        <f t="shared" si="93"/>
        <v>0</v>
      </c>
      <c r="Q1012" s="677"/>
    </row>
    <row r="1013" spans="2:17">
      <c r="B1013" s="334"/>
      <c r="C1013" s="725">
        <f>IF(D956="","-",+C1012+1)</f>
        <v>2065</v>
      </c>
      <c r="D1013" s="676">
        <f t="shared" si="94"/>
        <v>36716.007062146964</v>
      </c>
      <c r="E1013" s="732">
        <f t="shared" si="95"/>
        <v>4542.1864406779659</v>
      </c>
      <c r="F1013" s="732">
        <f t="shared" si="88"/>
        <v>32173.820621469</v>
      </c>
      <c r="G1013" s="676">
        <f t="shared" si="89"/>
        <v>34444.913841807982</v>
      </c>
      <c r="H1013" s="726">
        <f>+J957*G1013+E1013</f>
        <v>8259.0123858898296</v>
      </c>
      <c r="I1013" s="733">
        <f>+J958*G1013+E1013</f>
        <v>8259.0123858898296</v>
      </c>
      <c r="J1013" s="729">
        <f t="shared" si="90"/>
        <v>0</v>
      </c>
      <c r="K1013" s="729"/>
      <c r="L1013" s="734"/>
      <c r="M1013" s="729">
        <f t="shared" si="91"/>
        <v>0</v>
      </c>
      <c r="N1013" s="734"/>
      <c r="O1013" s="729">
        <f t="shared" si="92"/>
        <v>0</v>
      </c>
      <c r="P1013" s="729">
        <f t="shared" si="93"/>
        <v>0</v>
      </c>
      <c r="Q1013" s="677"/>
    </row>
    <row r="1014" spans="2:17">
      <c r="B1014" s="334"/>
      <c r="C1014" s="725">
        <f>IF(D956="","-",+C1013+1)</f>
        <v>2066</v>
      </c>
      <c r="D1014" s="676">
        <f t="shared" si="94"/>
        <v>32173.820621469</v>
      </c>
      <c r="E1014" s="732">
        <f t="shared" si="95"/>
        <v>4542.1864406779659</v>
      </c>
      <c r="F1014" s="732">
        <f t="shared" si="88"/>
        <v>27631.634180791036</v>
      </c>
      <c r="G1014" s="676">
        <f t="shared" si="89"/>
        <v>29902.727401130018</v>
      </c>
      <c r="H1014" s="726">
        <f>+J957*G1014+E1014</f>
        <v>7768.8814920157392</v>
      </c>
      <c r="I1014" s="733">
        <f>+J958*G1014+E1014</f>
        <v>7768.8814920157392</v>
      </c>
      <c r="J1014" s="729">
        <f t="shared" si="90"/>
        <v>0</v>
      </c>
      <c r="K1014" s="729"/>
      <c r="L1014" s="734"/>
      <c r="M1014" s="729">
        <f t="shared" si="91"/>
        <v>0</v>
      </c>
      <c r="N1014" s="734"/>
      <c r="O1014" s="729">
        <f t="shared" si="92"/>
        <v>0</v>
      </c>
      <c r="P1014" s="729">
        <f t="shared" si="93"/>
        <v>0</v>
      </c>
      <c r="Q1014" s="677"/>
    </row>
    <row r="1015" spans="2:17">
      <c r="B1015" s="334"/>
      <c r="C1015" s="725">
        <f>IF(D956="","-",+C1014+1)</f>
        <v>2067</v>
      </c>
      <c r="D1015" s="676">
        <f t="shared" si="94"/>
        <v>27631.634180791036</v>
      </c>
      <c r="E1015" s="732">
        <f t="shared" si="95"/>
        <v>4542.1864406779659</v>
      </c>
      <c r="F1015" s="732">
        <f t="shared" si="88"/>
        <v>23089.447740113072</v>
      </c>
      <c r="G1015" s="676">
        <f t="shared" si="89"/>
        <v>25360.540960452054</v>
      </c>
      <c r="H1015" s="726">
        <f>+J957*G1015+E1015</f>
        <v>7278.7505981416489</v>
      </c>
      <c r="I1015" s="733">
        <f>+J958*G1015+E1015</f>
        <v>7278.7505981416489</v>
      </c>
      <c r="J1015" s="729">
        <f t="shared" si="90"/>
        <v>0</v>
      </c>
      <c r="K1015" s="729"/>
      <c r="L1015" s="734"/>
      <c r="M1015" s="729">
        <f t="shared" si="91"/>
        <v>0</v>
      </c>
      <c r="N1015" s="734"/>
      <c r="O1015" s="729">
        <f t="shared" si="92"/>
        <v>0</v>
      </c>
      <c r="P1015" s="729">
        <f t="shared" si="93"/>
        <v>0</v>
      </c>
      <c r="Q1015" s="677"/>
    </row>
    <row r="1016" spans="2:17">
      <c r="B1016" s="334"/>
      <c r="C1016" s="725">
        <f>IF(D956="","-",+C1015+1)</f>
        <v>2068</v>
      </c>
      <c r="D1016" s="676">
        <f t="shared" si="94"/>
        <v>23089.447740113072</v>
      </c>
      <c r="E1016" s="732">
        <f t="shared" si="95"/>
        <v>4542.1864406779659</v>
      </c>
      <c r="F1016" s="732">
        <f t="shared" si="88"/>
        <v>18547.261299435108</v>
      </c>
      <c r="G1016" s="676">
        <f t="shared" si="89"/>
        <v>20818.35451977409</v>
      </c>
      <c r="H1016" s="726">
        <f>+J957*G1016+E1016</f>
        <v>6788.6197042675576</v>
      </c>
      <c r="I1016" s="733">
        <f>+J958*G1016+E1016</f>
        <v>6788.6197042675576</v>
      </c>
      <c r="J1016" s="729">
        <f t="shared" si="90"/>
        <v>0</v>
      </c>
      <c r="K1016" s="729"/>
      <c r="L1016" s="734"/>
      <c r="M1016" s="729">
        <f t="shared" si="91"/>
        <v>0</v>
      </c>
      <c r="N1016" s="734"/>
      <c r="O1016" s="729">
        <f t="shared" si="92"/>
        <v>0</v>
      </c>
      <c r="P1016" s="729">
        <f t="shared" si="93"/>
        <v>0</v>
      </c>
      <c r="Q1016" s="677"/>
    </row>
    <row r="1017" spans="2:17">
      <c r="B1017" s="334"/>
      <c r="C1017" s="725">
        <f>IF(D956="","-",+C1016+1)</f>
        <v>2069</v>
      </c>
      <c r="D1017" s="676">
        <f t="shared" si="94"/>
        <v>18547.261299435108</v>
      </c>
      <c r="E1017" s="732">
        <f t="shared" si="95"/>
        <v>4542.1864406779659</v>
      </c>
      <c r="F1017" s="732">
        <f t="shared" si="88"/>
        <v>14005.074858757142</v>
      </c>
      <c r="G1017" s="676">
        <f t="shared" si="89"/>
        <v>16276.168079096125</v>
      </c>
      <c r="H1017" s="726">
        <f>+J957*G1017+E1017</f>
        <v>6298.4888103934672</v>
      </c>
      <c r="I1017" s="733">
        <f>+J958*G1017+E1017</f>
        <v>6298.4888103934672</v>
      </c>
      <c r="J1017" s="729">
        <f t="shared" si="90"/>
        <v>0</v>
      </c>
      <c r="K1017" s="729"/>
      <c r="L1017" s="734"/>
      <c r="M1017" s="729">
        <f t="shared" si="91"/>
        <v>0</v>
      </c>
      <c r="N1017" s="734"/>
      <c r="O1017" s="729">
        <f t="shared" si="92"/>
        <v>0</v>
      </c>
      <c r="P1017" s="729">
        <f t="shared" si="93"/>
        <v>0</v>
      </c>
      <c r="Q1017" s="677"/>
    </row>
    <row r="1018" spans="2:17">
      <c r="B1018" s="334"/>
      <c r="C1018" s="725">
        <f>IF(D956="","-",+C1017+1)</f>
        <v>2070</v>
      </c>
      <c r="D1018" s="676">
        <f t="shared" si="94"/>
        <v>14005.074858757142</v>
      </c>
      <c r="E1018" s="732">
        <f t="shared" si="95"/>
        <v>4542.1864406779659</v>
      </c>
      <c r="F1018" s="732">
        <f t="shared" si="88"/>
        <v>9462.8884180791756</v>
      </c>
      <c r="G1018" s="676">
        <f t="shared" si="89"/>
        <v>11733.981638418158</v>
      </c>
      <c r="H1018" s="726">
        <f>+J957*G1018+E1018</f>
        <v>5808.357916519376</v>
      </c>
      <c r="I1018" s="733">
        <f>+J958*G1018+E1018</f>
        <v>5808.357916519376</v>
      </c>
      <c r="J1018" s="729">
        <f t="shared" si="90"/>
        <v>0</v>
      </c>
      <c r="K1018" s="729"/>
      <c r="L1018" s="734"/>
      <c r="M1018" s="729">
        <f t="shared" si="91"/>
        <v>0</v>
      </c>
      <c r="N1018" s="734"/>
      <c r="O1018" s="729">
        <f t="shared" si="92"/>
        <v>0</v>
      </c>
      <c r="P1018" s="729">
        <f t="shared" si="93"/>
        <v>0</v>
      </c>
      <c r="Q1018" s="677"/>
    </row>
    <row r="1019" spans="2:17">
      <c r="B1019" s="334"/>
      <c r="C1019" s="725">
        <f>IF(D956="","-",+C1018+1)</f>
        <v>2071</v>
      </c>
      <c r="D1019" s="676">
        <f t="shared" si="94"/>
        <v>9462.8884180791756</v>
      </c>
      <c r="E1019" s="732">
        <f t="shared" si="95"/>
        <v>4542.1864406779659</v>
      </c>
      <c r="F1019" s="732">
        <f t="shared" si="88"/>
        <v>4920.7019774012097</v>
      </c>
      <c r="G1019" s="676">
        <f t="shared" si="89"/>
        <v>7191.7951977401926</v>
      </c>
      <c r="H1019" s="726">
        <f>+J957*G1019+E1019</f>
        <v>5318.2270226452856</v>
      </c>
      <c r="I1019" s="733">
        <f>+J958*G1019+E1019</f>
        <v>5318.2270226452856</v>
      </c>
      <c r="J1019" s="729">
        <f t="shared" si="90"/>
        <v>0</v>
      </c>
      <c r="K1019" s="729"/>
      <c r="L1019" s="734"/>
      <c r="M1019" s="729">
        <f t="shared" si="91"/>
        <v>0</v>
      </c>
      <c r="N1019" s="734"/>
      <c r="O1019" s="729">
        <f t="shared" si="92"/>
        <v>0</v>
      </c>
      <c r="P1019" s="729">
        <f t="shared" si="93"/>
        <v>0</v>
      </c>
      <c r="Q1019" s="677"/>
    </row>
    <row r="1020" spans="2:17">
      <c r="B1020" s="334"/>
      <c r="C1020" s="725">
        <f>IF(D956="","-",+C1019+1)</f>
        <v>2072</v>
      </c>
      <c r="D1020" s="676">
        <f t="shared" si="94"/>
        <v>4920.7019774012097</v>
      </c>
      <c r="E1020" s="732">
        <f t="shared" si="95"/>
        <v>4542.1864406779659</v>
      </c>
      <c r="F1020" s="732">
        <f t="shared" si="88"/>
        <v>378.51553672324371</v>
      </c>
      <c r="G1020" s="676">
        <f t="shared" si="89"/>
        <v>2649.6087570622267</v>
      </c>
      <c r="H1020" s="726">
        <f>+J957*G1020+E1020</f>
        <v>4828.0961287711943</v>
      </c>
      <c r="I1020" s="733">
        <f>+J958*G1020+E1020</f>
        <v>4828.0961287711943</v>
      </c>
      <c r="J1020" s="729">
        <f t="shared" si="90"/>
        <v>0</v>
      </c>
      <c r="K1020" s="729"/>
      <c r="L1020" s="734"/>
      <c r="M1020" s="729">
        <f t="shared" si="91"/>
        <v>0</v>
      </c>
      <c r="N1020" s="734"/>
      <c r="O1020" s="729">
        <f t="shared" si="92"/>
        <v>0</v>
      </c>
      <c r="P1020" s="729">
        <f t="shared" si="93"/>
        <v>0</v>
      </c>
      <c r="Q1020" s="677"/>
    </row>
    <row r="1021" spans="2:17" ht="13.5" thickBot="1">
      <c r="B1021" s="334"/>
      <c r="C1021" s="737">
        <f>IF(D956="","-",+C1020+1)</f>
        <v>2073</v>
      </c>
      <c r="D1021" s="738">
        <f t="shared" si="94"/>
        <v>378.51553672324371</v>
      </c>
      <c r="E1021" s="739">
        <f t="shared" si="95"/>
        <v>378.51553672324371</v>
      </c>
      <c r="F1021" s="739">
        <f t="shared" si="88"/>
        <v>0</v>
      </c>
      <c r="G1021" s="738">
        <f t="shared" si="89"/>
        <v>189.25776836162186</v>
      </c>
      <c r="H1021" s="740">
        <f>+J957*G1021+E1021</f>
        <v>398.93765730133515</v>
      </c>
      <c r="I1021" s="740">
        <f>+J958*G1021+E1021</f>
        <v>398.93765730133515</v>
      </c>
      <c r="J1021" s="741">
        <f t="shared" si="90"/>
        <v>0</v>
      </c>
      <c r="K1021" s="729"/>
      <c r="L1021" s="742"/>
      <c r="M1021" s="741">
        <f t="shared" si="91"/>
        <v>0</v>
      </c>
      <c r="N1021" s="742"/>
      <c r="O1021" s="741">
        <f t="shared" si="92"/>
        <v>0</v>
      </c>
      <c r="P1021" s="741">
        <f t="shared" si="93"/>
        <v>0</v>
      </c>
      <c r="Q1021" s="677"/>
    </row>
    <row r="1022" spans="2:17">
      <c r="B1022" s="334"/>
      <c r="C1022" s="676" t="s">
        <v>289</v>
      </c>
      <c r="D1022" s="672"/>
      <c r="E1022" s="672">
        <f>SUM(E962:E1021)</f>
        <v>267989</v>
      </c>
      <c r="F1022" s="672"/>
      <c r="G1022" s="672"/>
      <c r="H1022" s="672">
        <f>SUM(H962:H1021)</f>
        <v>1123471.6310160696</v>
      </c>
      <c r="I1022" s="672">
        <f>SUM(I962:I1021)</f>
        <v>1123471.6310160696</v>
      </c>
      <c r="J1022" s="672">
        <f>SUM(J962:J1021)</f>
        <v>0</v>
      </c>
      <c r="K1022" s="672"/>
      <c r="L1022" s="672"/>
      <c r="M1022" s="672"/>
      <c r="N1022" s="672"/>
      <c r="O1022" s="672"/>
      <c r="Q1022" s="672"/>
    </row>
    <row r="1023" spans="2:17">
      <c r="B1023" s="334"/>
      <c r="D1023" s="566"/>
      <c r="E1023" s="543"/>
      <c r="F1023" s="543"/>
      <c r="G1023" s="543"/>
      <c r="H1023" s="543"/>
      <c r="I1023" s="649"/>
      <c r="J1023" s="649"/>
      <c r="K1023" s="672"/>
      <c r="L1023" s="649"/>
      <c r="M1023" s="649"/>
      <c r="N1023" s="649"/>
      <c r="O1023" s="649"/>
      <c r="Q1023" s="672"/>
    </row>
    <row r="1024" spans="2:17">
      <c r="B1024" s="334"/>
      <c r="C1024" s="543" t="s">
        <v>602</v>
      </c>
      <c r="D1024" s="566"/>
      <c r="E1024" s="543"/>
      <c r="F1024" s="543"/>
      <c r="G1024" s="543"/>
      <c r="H1024" s="543"/>
      <c r="I1024" s="649"/>
      <c r="J1024" s="649"/>
      <c r="K1024" s="672"/>
      <c r="L1024" s="649"/>
      <c r="M1024" s="649"/>
      <c r="N1024" s="649"/>
      <c r="O1024" s="649"/>
      <c r="Q1024" s="672"/>
    </row>
    <row r="1025" spans="1:17">
      <c r="B1025" s="334"/>
      <c r="D1025" s="566"/>
      <c r="E1025" s="543"/>
      <c r="F1025" s="543"/>
      <c r="G1025" s="543"/>
      <c r="H1025" s="543"/>
      <c r="I1025" s="649"/>
      <c r="J1025" s="649"/>
      <c r="K1025" s="672"/>
      <c r="L1025" s="649"/>
      <c r="M1025" s="649"/>
      <c r="N1025" s="649"/>
      <c r="O1025" s="649"/>
      <c r="Q1025" s="672"/>
    </row>
    <row r="1026" spans="1:17">
      <c r="B1026" s="334"/>
      <c r="C1026" s="579" t="s">
        <v>603</v>
      </c>
      <c r="D1026" s="676"/>
      <c r="E1026" s="676"/>
      <c r="F1026" s="676"/>
      <c r="G1026" s="676"/>
      <c r="H1026" s="672"/>
      <c r="I1026" s="672"/>
      <c r="J1026" s="677"/>
      <c r="K1026" s="677"/>
      <c r="L1026" s="677"/>
      <c r="M1026" s="677"/>
      <c r="N1026" s="677"/>
      <c r="O1026" s="677"/>
      <c r="Q1026" s="677"/>
    </row>
    <row r="1027" spans="1:17">
      <c r="B1027" s="334"/>
      <c r="C1027" s="579" t="s">
        <v>477</v>
      </c>
      <c r="D1027" s="676"/>
      <c r="E1027" s="676"/>
      <c r="F1027" s="676"/>
      <c r="G1027" s="676"/>
      <c r="H1027" s="672"/>
      <c r="I1027" s="672"/>
      <c r="J1027" s="677"/>
      <c r="K1027" s="677"/>
      <c r="L1027" s="677"/>
      <c r="M1027" s="677"/>
      <c r="N1027" s="677"/>
      <c r="O1027" s="677"/>
      <c r="Q1027" s="677"/>
    </row>
    <row r="1028" spans="1:17">
      <c r="B1028" s="334"/>
      <c r="C1028" s="579" t="s">
        <v>290</v>
      </c>
      <c r="D1028" s="676"/>
      <c r="E1028" s="676"/>
      <c r="F1028" s="676"/>
      <c r="G1028" s="676"/>
      <c r="H1028" s="672"/>
      <c r="I1028" s="672"/>
      <c r="J1028" s="677"/>
      <c r="K1028" s="677"/>
      <c r="L1028" s="677"/>
      <c r="M1028" s="677"/>
      <c r="N1028" s="677"/>
      <c r="O1028" s="677"/>
      <c r="Q1028" s="677"/>
    </row>
    <row r="1029" spans="1:17" ht="20.25">
      <c r="A1029" s="678" t="s">
        <v>780</v>
      </c>
      <c r="B1029" s="543"/>
      <c r="C1029" s="658"/>
      <c r="D1029" s="566"/>
      <c r="E1029" s="543"/>
      <c r="F1029" s="648"/>
      <c r="G1029" s="648"/>
      <c r="H1029" s="543"/>
      <c r="I1029" s="649"/>
      <c r="L1029" s="679"/>
      <c r="M1029" s="679"/>
      <c r="N1029" s="679"/>
      <c r="O1029" s="594" t="str">
        <f>"Page "&amp;SUM(Q$3:Q1029)&amp;" of "</f>
        <v xml:space="preserve">Page 13 of </v>
      </c>
      <c r="P1029" s="595">
        <f>COUNT(Q$8:Q$58123)</f>
        <v>15</v>
      </c>
      <c r="Q1029" s="763">
        <v>1</v>
      </c>
    </row>
    <row r="1030" spans="1:17">
      <c r="B1030" s="543"/>
      <c r="C1030" s="543"/>
      <c r="D1030" s="566"/>
      <c r="E1030" s="543"/>
      <c r="F1030" s="543"/>
      <c r="G1030" s="543"/>
      <c r="H1030" s="543"/>
      <c r="I1030" s="649"/>
      <c r="J1030" s="543"/>
      <c r="K1030" s="591"/>
      <c r="Q1030" s="591"/>
    </row>
    <row r="1031" spans="1:17" ht="18">
      <c r="B1031" s="598" t="s">
        <v>175</v>
      </c>
      <c r="C1031" s="680" t="s">
        <v>291</v>
      </c>
      <c r="D1031" s="566"/>
      <c r="E1031" s="543"/>
      <c r="F1031" s="543"/>
      <c r="G1031" s="543"/>
      <c r="H1031" s="543"/>
      <c r="I1031" s="649"/>
      <c r="J1031" s="649"/>
      <c r="K1031" s="672"/>
      <c r="L1031" s="649"/>
      <c r="M1031" s="649"/>
      <c r="N1031" s="649"/>
      <c r="O1031" s="649"/>
      <c r="Q1031" s="672"/>
    </row>
    <row r="1032" spans="1:17" ht="18.75">
      <c r="B1032" s="598"/>
      <c r="C1032" s="597"/>
      <c r="D1032" s="566"/>
      <c r="E1032" s="543"/>
      <c r="F1032" s="543"/>
      <c r="G1032" s="543"/>
      <c r="H1032" s="543"/>
      <c r="I1032" s="649"/>
      <c r="J1032" s="649"/>
      <c r="K1032" s="672"/>
      <c r="L1032" s="649"/>
      <c r="M1032" s="649"/>
      <c r="N1032" s="649"/>
      <c r="O1032" s="649"/>
      <c r="Q1032" s="672"/>
    </row>
    <row r="1033" spans="1:17" ht="18.75">
      <c r="B1033" s="598"/>
      <c r="C1033" s="597" t="s">
        <v>292</v>
      </c>
      <c r="D1033" s="566"/>
      <c r="E1033" s="543"/>
      <c r="F1033" s="543"/>
      <c r="G1033" s="543"/>
      <c r="H1033" s="543"/>
      <c r="I1033" s="649"/>
      <c r="J1033" s="649"/>
      <c r="K1033" s="672"/>
      <c r="L1033" s="649"/>
      <c r="M1033" s="649"/>
      <c r="N1033" s="649"/>
      <c r="O1033" s="649"/>
      <c r="Q1033" s="672"/>
    </row>
    <row r="1034" spans="1:17" ht="15.75" thickBot="1">
      <c r="B1034" s="334"/>
      <c r="C1034" s="400"/>
      <c r="D1034" s="566"/>
      <c r="E1034" s="543"/>
      <c r="F1034" s="543"/>
      <c r="G1034" s="543"/>
      <c r="H1034" s="543"/>
      <c r="I1034" s="649"/>
      <c r="J1034" s="649"/>
      <c r="K1034" s="672"/>
      <c r="L1034" s="649"/>
      <c r="M1034" s="649"/>
      <c r="N1034" s="649"/>
      <c r="O1034" s="649"/>
      <c r="Q1034" s="672"/>
    </row>
    <row r="1035" spans="1:17" ht="15.75">
      <c r="B1035" s="334"/>
      <c r="C1035" s="599" t="s">
        <v>293</v>
      </c>
      <c r="D1035" s="566"/>
      <c r="E1035" s="543"/>
      <c r="F1035" s="543"/>
      <c r="G1035" s="543"/>
      <c r="H1035" s="874"/>
      <c r="I1035" s="543" t="s">
        <v>272</v>
      </c>
      <c r="J1035" s="543"/>
      <c r="K1035" s="591"/>
      <c r="L1035" s="764">
        <f>+J1041</f>
        <v>2018</v>
      </c>
      <c r="M1035" s="746" t="s">
        <v>255</v>
      </c>
      <c r="N1035" s="746" t="s">
        <v>256</v>
      </c>
      <c r="O1035" s="747" t="s">
        <v>257</v>
      </c>
      <c r="Q1035" s="591"/>
    </row>
    <row r="1036" spans="1:17" ht="15.75">
      <c r="B1036" s="334"/>
      <c r="C1036" s="599"/>
      <c r="D1036" s="566"/>
      <c r="E1036" s="543"/>
      <c r="F1036" s="543"/>
      <c r="H1036" s="543"/>
      <c r="I1036" s="684"/>
      <c r="J1036" s="684"/>
      <c r="K1036" s="685"/>
      <c r="L1036" s="765" t="s">
        <v>456</v>
      </c>
      <c r="M1036" s="766">
        <f>VLOOKUP(J1041,C1048:P1107,10)</f>
        <v>1174872</v>
      </c>
      <c r="N1036" s="766">
        <f>VLOOKUP(J1041,C1048:P1107,12)</f>
        <v>1174872</v>
      </c>
      <c r="O1036" s="767">
        <f>+N1036-M1036</f>
        <v>0</v>
      </c>
      <c r="Q1036" s="685"/>
    </row>
    <row r="1037" spans="1:17">
      <c r="B1037" s="334"/>
      <c r="C1037" s="687" t="s">
        <v>294</v>
      </c>
      <c r="D1037" s="1434" t="s">
        <v>1006</v>
      </c>
      <c r="E1037" s="1434"/>
      <c r="F1037" s="1434"/>
      <c r="G1037" s="1434"/>
      <c r="H1037" s="1434"/>
      <c r="I1037" s="649"/>
      <c r="J1037" s="649"/>
      <c r="K1037" s="672"/>
      <c r="L1037" s="765" t="s">
        <v>457</v>
      </c>
      <c r="M1037" s="768">
        <f>VLOOKUP(J1041,C1048:P1107,6)</f>
        <v>1142566.7533412275</v>
      </c>
      <c r="N1037" s="768">
        <f>VLOOKUP(J1041,C1048:P1107,7)</f>
        <v>1142566.7533412275</v>
      </c>
      <c r="O1037" s="769">
        <f>+N1037-M1037</f>
        <v>0</v>
      </c>
      <c r="Q1037" s="672"/>
    </row>
    <row r="1038" spans="1:17" ht="13.5" thickBot="1">
      <c r="B1038" s="334"/>
      <c r="C1038" s="689"/>
      <c r="D1038" s="690"/>
      <c r="E1038" s="674"/>
      <c r="F1038" s="674"/>
      <c r="G1038" s="674"/>
      <c r="H1038" s="691"/>
      <c r="I1038" s="649"/>
      <c r="J1038" s="649"/>
      <c r="K1038" s="672"/>
      <c r="L1038" s="710" t="s">
        <v>458</v>
      </c>
      <c r="M1038" s="770">
        <f>+M1037-M1036</f>
        <v>-32305.246658772463</v>
      </c>
      <c r="N1038" s="770">
        <f>+N1037-N1036</f>
        <v>-32305.246658772463</v>
      </c>
      <c r="O1038" s="771">
        <f>+O1037-O1036</f>
        <v>0</v>
      </c>
      <c r="Q1038" s="672"/>
    </row>
    <row r="1039" spans="1:17" ht="13.5" thickBot="1">
      <c r="B1039" s="334"/>
      <c r="C1039" s="692"/>
      <c r="D1039" s="693"/>
      <c r="E1039" s="691"/>
      <c r="F1039" s="691"/>
      <c r="G1039" s="691"/>
      <c r="H1039" s="691"/>
      <c r="I1039" s="691"/>
      <c r="J1039" s="691"/>
      <c r="K1039" s="694"/>
      <c r="L1039" s="691"/>
      <c r="M1039" s="691"/>
      <c r="N1039" s="691"/>
      <c r="O1039" s="691"/>
      <c r="P1039" s="579"/>
      <c r="Q1039" s="694"/>
    </row>
    <row r="1040" spans="1:17" ht="13.5" thickBot="1">
      <c r="B1040" s="334"/>
      <c r="C1040" s="696" t="s">
        <v>295</v>
      </c>
      <c r="D1040" s="697"/>
      <c r="E1040" s="697"/>
      <c r="F1040" s="697"/>
      <c r="G1040" s="697"/>
      <c r="H1040" s="697"/>
      <c r="I1040" s="697"/>
      <c r="J1040" s="697"/>
      <c r="K1040" s="699"/>
      <c r="P1040" s="700"/>
      <c r="Q1040" s="699"/>
    </row>
    <row r="1041" spans="1:17" ht="15">
      <c r="A1041" s="695"/>
      <c r="B1041" s="334"/>
      <c r="C1041" s="702" t="s">
        <v>273</v>
      </c>
      <c r="D1041" s="1268">
        <v>9218629</v>
      </c>
      <c r="E1041" s="658" t="s">
        <v>274</v>
      </c>
      <c r="H1041" s="703"/>
      <c r="I1041" s="703"/>
      <c r="J1041" s="704">
        <v>2018</v>
      </c>
      <c r="K1041" s="589"/>
      <c r="L1041" s="1445" t="s">
        <v>275</v>
      </c>
      <c r="M1041" s="1445"/>
      <c r="N1041" s="1445"/>
      <c r="O1041" s="1445"/>
      <c r="P1041" s="591"/>
      <c r="Q1041" s="589"/>
    </row>
    <row r="1042" spans="1:17">
      <c r="A1042" s="695"/>
      <c r="B1042" s="334"/>
      <c r="C1042" s="702" t="s">
        <v>276</v>
      </c>
      <c r="D1042" s="876">
        <v>2017</v>
      </c>
      <c r="E1042" s="702" t="s">
        <v>277</v>
      </c>
      <c r="F1042" s="703"/>
      <c r="G1042" s="703"/>
      <c r="I1042" s="334"/>
      <c r="J1042" s="879">
        <v>0</v>
      </c>
      <c r="K1042" s="705"/>
      <c r="L1042" s="672" t="s">
        <v>476</v>
      </c>
      <c r="P1042" s="591"/>
      <c r="Q1042" s="705"/>
    </row>
    <row r="1043" spans="1:17">
      <c r="A1043" s="695"/>
      <c r="B1043" s="334"/>
      <c r="C1043" s="702" t="s">
        <v>278</v>
      </c>
      <c r="D1043" s="1269">
        <v>12</v>
      </c>
      <c r="E1043" s="702" t="s">
        <v>279</v>
      </c>
      <c r="F1043" s="703"/>
      <c r="G1043" s="703"/>
      <c r="I1043" s="334"/>
      <c r="J1043" s="706">
        <f>$F$70</f>
        <v>0.10790637951024619</v>
      </c>
      <c r="K1043" s="707"/>
      <c r="L1043" s="543" t="str">
        <f>"          INPUT TRUE-UP ARR (WITH &amp; WITHOUT INCENTIVES) FROM EACH PRIOR YEAR"</f>
        <v xml:space="preserve">          INPUT TRUE-UP ARR (WITH &amp; WITHOUT INCENTIVES) FROM EACH PRIOR YEAR</v>
      </c>
      <c r="P1043" s="591"/>
      <c r="Q1043" s="707"/>
    </row>
    <row r="1044" spans="1:17">
      <c r="A1044" s="695"/>
      <c r="B1044" s="334"/>
      <c r="C1044" s="702" t="s">
        <v>280</v>
      </c>
      <c r="D1044" s="708">
        <f>H79</f>
        <v>59</v>
      </c>
      <c r="E1044" s="702" t="s">
        <v>281</v>
      </c>
      <c r="F1044" s="703"/>
      <c r="G1044" s="703"/>
      <c r="I1044" s="334"/>
      <c r="J1044" s="706">
        <f>IF(H1035="",J1043,$F$69)</f>
        <v>0.10790637951024619</v>
      </c>
      <c r="K1044" s="709"/>
      <c r="L1044" s="543" t="s">
        <v>363</v>
      </c>
      <c r="M1044" s="709"/>
      <c r="N1044" s="709"/>
      <c r="O1044" s="709"/>
      <c r="P1044" s="591"/>
      <c r="Q1044" s="709"/>
    </row>
    <row r="1045" spans="1:17" ht="13.5" thickBot="1">
      <c r="A1045" s="695"/>
      <c r="B1045" s="334"/>
      <c r="C1045" s="702" t="s">
        <v>282</v>
      </c>
      <c r="D1045" s="878" t="s">
        <v>995</v>
      </c>
      <c r="E1045" s="710" t="s">
        <v>283</v>
      </c>
      <c r="F1045" s="711"/>
      <c r="G1045" s="711"/>
      <c r="H1045" s="712"/>
      <c r="I1045" s="712"/>
      <c r="J1045" s="688">
        <f>IF(D1041=0,0,D1041/D1044)</f>
        <v>156247.94915254237</v>
      </c>
      <c r="K1045" s="672"/>
      <c r="L1045" s="672" t="s">
        <v>364</v>
      </c>
      <c r="M1045" s="672"/>
      <c r="N1045" s="672"/>
      <c r="O1045" s="672"/>
      <c r="P1045" s="591"/>
      <c r="Q1045" s="672"/>
    </row>
    <row r="1046" spans="1:17" ht="38.25">
      <c r="A1046" s="530"/>
      <c r="B1046" s="530"/>
      <c r="C1046" s="713" t="s">
        <v>273</v>
      </c>
      <c r="D1046" s="714" t="s">
        <v>284</v>
      </c>
      <c r="E1046" s="715" t="s">
        <v>285</v>
      </c>
      <c r="F1046" s="714" t="s">
        <v>286</v>
      </c>
      <c r="G1046" s="714" t="s">
        <v>459</v>
      </c>
      <c r="H1046" s="715" t="s">
        <v>357</v>
      </c>
      <c r="I1046" s="716" t="s">
        <v>357</v>
      </c>
      <c r="J1046" s="713" t="s">
        <v>296</v>
      </c>
      <c r="K1046" s="717"/>
      <c r="L1046" s="715" t="s">
        <v>359</v>
      </c>
      <c r="M1046" s="715" t="s">
        <v>365</v>
      </c>
      <c r="N1046" s="715" t="s">
        <v>359</v>
      </c>
      <c r="O1046" s="715" t="s">
        <v>367</v>
      </c>
      <c r="P1046" s="715" t="s">
        <v>287</v>
      </c>
      <c r="Q1046" s="718"/>
    </row>
    <row r="1047" spans="1:17" ht="13.5" thickBot="1">
      <c r="B1047" s="334"/>
      <c r="C1047" s="719" t="s">
        <v>178</v>
      </c>
      <c r="D1047" s="720" t="s">
        <v>179</v>
      </c>
      <c r="E1047" s="719" t="s">
        <v>37</v>
      </c>
      <c r="F1047" s="720" t="s">
        <v>179</v>
      </c>
      <c r="G1047" s="720" t="s">
        <v>179</v>
      </c>
      <c r="H1047" s="721" t="s">
        <v>299</v>
      </c>
      <c r="I1047" s="722" t="s">
        <v>301</v>
      </c>
      <c r="J1047" s="723" t="s">
        <v>390</v>
      </c>
      <c r="K1047" s="724"/>
      <c r="L1047" s="721" t="s">
        <v>288</v>
      </c>
      <c r="M1047" s="721" t="s">
        <v>288</v>
      </c>
      <c r="N1047" s="721" t="s">
        <v>468</v>
      </c>
      <c r="O1047" s="721" t="s">
        <v>468</v>
      </c>
      <c r="P1047" s="721" t="s">
        <v>468</v>
      </c>
      <c r="Q1047" s="589"/>
    </row>
    <row r="1048" spans="1:17">
      <c r="B1048" s="334"/>
      <c r="C1048" s="725">
        <f>IF(D1042= "","-",D1042)</f>
        <v>2017</v>
      </c>
      <c r="D1048" s="676">
        <f>+D1041</f>
        <v>9218629</v>
      </c>
      <c r="E1048" s="726">
        <f>+J1045/12*(12-D1043)</f>
        <v>0</v>
      </c>
      <c r="F1048" s="772">
        <f t="shared" ref="F1048:F1107" si="96">+D1048-E1048</f>
        <v>9218629</v>
      </c>
      <c r="G1048" s="676">
        <f t="shared" ref="G1048:G1107" si="97">+(D1048+F1048)/2</f>
        <v>9218629</v>
      </c>
      <c r="H1048" s="727">
        <f>+J1043*G1048+E1048</f>
        <v>994748.87943816127</v>
      </c>
      <c r="I1048" s="728">
        <f>+J1044*G1048+E1048</f>
        <v>994748.87943816127</v>
      </c>
      <c r="J1048" s="729">
        <f t="shared" ref="J1048:J1107" si="98">+I1048-H1048</f>
        <v>0</v>
      </c>
      <c r="K1048" s="729"/>
      <c r="L1048" s="730">
        <v>0</v>
      </c>
      <c r="M1048" s="773">
        <f t="shared" ref="M1048:M1107" si="99">IF(L1048&lt;&gt;0,+H1048-L1048,0)</f>
        <v>0</v>
      </c>
      <c r="N1048" s="730">
        <v>0</v>
      </c>
      <c r="O1048" s="773">
        <f t="shared" ref="O1048:O1107" si="100">IF(N1048&lt;&gt;0,+I1048-N1048,0)</f>
        <v>0</v>
      </c>
      <c r="P1048" s="773">
        <f t="shared" ref="P1048:P1107" si="101">+O1048-M1048</f>
        <v>0</v>
      </c>
      <c r="Q1048" s="677"/>
    </row>
    <row r="1049" spans="1:17">
      <c r="B1049" s="334"/>
      <c r="C1049" s="725">
        <f>IF(D1042="","-",+C1048+1)</f>
        <v>2018</v>
      </c>
      <c r="D1049" s="1311">
        <f t="shared" ref="D1049:D1107" si="102">F1048</f>
        <v>9218629</v>
      </c>
      <c r="E1049" s="732">
        <f>IF(D1049&gt;$J$1045,$J$1045,D1049)</f>
        <v>156247.94915254237</v>
      </c>
      <c r="F1049" s="732">
        <f t="shared" si="96"/>
        <v>9062381.0508474577</v>
      </c>
      <c r="G1049" s="676">
        <f t="shared" si="97"/>
        <v>9140505.0254237279</v>
      </c>
      <c r="H1049" s="726">
        <f>+J1043*G1049+E1049</f>
        <v>1142566.7533412275</v>
      </c>
      <c r="I1049" s="733">
        <f>+J1044*G1049+E1049</f>
        <v>1142566.7533412275</v>
      </c>
      <c r="J1049" s="729">
        <f t="shared" si="98"/>
        <v>0</v>
      </c>
      <c r="K1049" s="729"/>
      <c r="L1049" s="734">
        <v>1174872</v>
      </c>
      <c r="M1049" s="729">
        <f t="shared" si="99"/>
        <v>-32305.246658772463</v>
      </c>
      <c r="N1049" s="734">
        <v>1174872</v>
      </c>
      <c r="O1049" s="729">
        <f t="shared" si="100"/>
        <v>-32305.246658772463</v>
      </c>
      <c r="P1049" s="729">
        <f t="shared" si="101"/>
        <v>0</v>
      </c>
      <c r="Q1049" s="677"/>
    </row>
    <row r="1050" spans="1:17">
      <c r="B1050" s="334"/>
      <c r="C1050" s="725">
        <f>IF(D1042="","-",+C1049+1)</f>
        <v>2019</v>
      </c>
      <c r="D1050" s="1282">
        <f t="shared" si="102"/>
        <v>9062381.0508474577</v>
      </c>
      <c r="E1050" s="732">
        <f t="shared" ref="E1050:E1107" si="103">IF(D1050&gt;$J$1045,$J$1045,D1050)</f>
        <v>156247.94915254237</v>
      </c>
      <c r="F1050" s="732">
        <f t="shared" si="96"/>
        <v>8906133.1016949154</v>
      </c>
      <c r="G1050" s="676">
        <f t="shared" si="97"/>
        <v>8984257.0762711875</v>
      </c>
      <c r="H1050" s="726">
        <f>+J1043*G1050+E1050</f>
        <v>1125706.602842276</v>
      </c>
      <c r="I1050" s="733">
        <f>+J1044*G1050+E1050</f>
        <v>1125706.602842276</v>
      </c>
      <c r="J1050" s="729">
        <f t="shared" si="98"/>
        <v>0</v>
      </c>
      <c r="K1050" s="729"/>
      <c r="L1050" s="734">
        <v>0</v>
      </c>
      <c r="M1050" s="729">
        <f t="shared" si="99"/>
        <v>0</v>
      </c>
      <c r="N1050" s="734">
        <v>0</v>
      </c>
      <c r="O1050" s="729">
        <f t="shared" si="100"/>
        <v>0</v>
      </c>
      <c r="P1050" s="729">
        <f t="shared" si="101"/>
        <v>0</v>
      </c>
      <c r="Q1050" s="677"/>
    </row>
    <row r="1051" spans="1:17">
      <c r="B1051" s="334"/>
      <c r="C1051" s="725">
        <f>IF(D1042="","-",+C1050+1)</f>
        <v>2020</v>
      </c>
      <c r="D1051" s="1282">
        <f t="shared" si="102"/>
        <v>8906133.1016949154</v>
      </c>
      <c r="E1051" s="732">
        <f t="shared" si="103"/>
        <v>156247.94915254237</v>
      </c>
      <c r="F1051" s="732">
        <f t="shared" si="96"/>
        <v>8749885.1525423732</v>
      </c>
      <c r="G1051" s="676">
        <f t="shared" si="97"/>
        <v>8828009.1271186434</v>
      </c>
      <c r="H1051" s="726">
        <f>+J1043*G1051+E1051</f>
        <v>1108846.452343324</v>
      </c>
      <c r="I1051" s="733">
        <f>+J1044*G1051+E1051</f>
        <v>1108846.452343324</v>
      </c>
      <c r="J1051" s="729">
        <f t="shared" si="98"/>
        <v>0</v>
      </c>
      <c r="K1051" s="729"/>
      <c r="L1051" s="734">
        <v>0</v>
      </c>
      <c r="M1051" s="729">
        <f t="shared" si="99"/>
        <v>0</v>
      </c>
      <c r="N1051" s="734">
        <v>0</v>
      </c>
      <c r="O1051" s="729">
        <f t="shared" si="100"/>
        <v>0</v>
      </c>
      <c r="P1051" s="729">
        <f t="shared" si="101"/>
        <v>0</v>
      </c>
      <c r="Q1051" s="677"/>
    </row>
    <row r="1052" spans="1:17">
      <c r="B1052" s="334"/>
      <c r="C1052" s="725">
        <f>IF(D1042="","-",+C1051+1)</f>
        <v>2021</v>
      </c>
      <c r="D1052" s="1282">
        <f t="shared" si="102"/>
        <v>8749885.1525423732</v>
      </c>
      <c r="E1052" s="732">
        <f t="shared" si="103"/>
        <v>156247.94915254237</v>
      </c>
      <c r="F1052" s="732">
        <f t="shared" si="96"/>
        <v>8593637.2033898309</v>
      </c>
      <c r="G1052" s="676">
        <f t="shared" si="97"/>
        <v>8671761.177966103</v>
      </c>
      <c r="H1052" s="726">
        <f>+J1043*G1052+E1052</f>
        <v>1091986.3018443722</v>
      </c>
      <c r="I1052" s="733">
        <f>+J1044*G1052+E1052</f>
        <v>1091986.3018443722</v>
      </c>
      <c r="J1052" s="729">
        <f t="shared" si="98"/>
        <v>0</v>
      </c>
      <c r="K1052" s="729"/>
      <c r="L1052" s="734">
        <v>0</v>
      </c>
      <c r="M1052" s="729">
        <f t="shared" si="99"/>
        <v>0</v>
      </c>
      <c r="N1052" s="734">
        <v>0</v>
      </c>
      <c r="O1052" s="729">
        <f t="shared" si="100"/>
        <v>0</v>
      </c>
      <c r="P1052" s="729">
        <f t="shared" si="101"/>
        <v>0</v>
      </c>
      <c r="Q1052" s="677"/>
    </row>
    <row r="1053" spans="1:17">
      <c r="B1053" s="334"/>
      <c r="C1053" s="725">
        <f>IF(D1042="","-",+C1052+1)</f>
        <v>2022</v>
      </c>
      <c r="D1053" s="676">
        <f t="shared" si="102"/>
        <v>8593637.2033898309</v>
      </c>
      <c r="E1053" s="732">
        <f t="shared" si="103"/>
        <v>156247.94915254237</v>
      </c>
      <c r="F1053" s="732">
        <f t="shared" si="96"/>
        <v>8437389.2542372886</v>
      </c>
      <c r="G1053" s="676">
        <f t="shared" si="97"/>
        <v>8515513.2288135588</v>
      </c>
      <c r="H1053" s="726">
        <f>+J1043*G1053+E1053</f>
        <v>1075126.1513454202</v>
      </c>
      <c r="I1053" s="733">
        <f>+J1044*G1053+E1053</f>
        <v>1075126.1513454202</v>
      </c>
      <c r="J1053" s="729">
        <f t="shared" si="98"/>
        <v>0</v>
      </c>
      <c r="K1053" s="729"/>
      <c r="L1053" s="734">
        <v>0</v>
      </c>
      <c r="M1053" s="729">
        <f t="shared" si="99"/>
        <v>0</v>
      </c>
      <c r="N1053" s="734">
        <v>0</v>
      </c>
      <c r="O1053" s="729">
        <f t="shared" si="100"/>
        <v>0</v>
      </c>
      <c r="P1053" s="729">
        <f t="shared" si="101"/>
        <v>0</v>
      </c>
      <c r="Q1053" s="677"/>
    </row>
    <row r="1054" spans="1:17">
      <c r="B1054" s="334"/>
      <c r="C1054" s="725">
        <f>IF(D1042="","-",+C1053+1)</f>
        <v>2023</v>
      </c>
      <c r="D1054" s="676">
        <f t="shared" si="102"/>
        <v>8437389.2542372886</v>
      </c>
      <c r="E1054" s="732">
        <f t="shared" si="103"/>
        <v>156247.94915254237</v>
      </c>
      <c r="F1054" s="732">
        <f t="shared" si="96"/>
        <v>8281141.3050847463</v>
      </c>
      <c r="G1054" s="676">
        <f t="shared" si="97"/>
        <v>8359265.2796610175</v>
      </c>
      <c r="H1054" s="726">
        <f>+J1043*G1054+E1054</f>
        <v>1058266.0008464684</v>
      </c>
      <c r="I1054" s="733">
        <f>+J1044*G1054+E1054</f>
        <v>1058266.0008464684</v>
      </c>
      <c r="J1054" s="729">
        <f t="shared" si="98"/>
        <v>0</v>
      </c>
      <c r="K1054" s="729"/>
      <c r="L1054" s="734">
        <v>0</v>
      </c>
      <c r="M1054" s="729">
        <f t="shared" si="99"/>
        <v>0</v>
      </c>
      <c r="N1054" s="734">
        <v>0</v>
      </c>
      <c r="O1054" s="729">
        <f t="shared" si="100"/>
        <v>0</v>
      </c>
      <c r="P1054" s="729">
        <f t="shared" si="101"/>
        <v>0</v>
      </c>
      <c r="Q1054" s="677"/>
    </row>
    <row r="1055" spans="1:17">
      <c r="B1055" s="334"/>
      <c r="C1055" s="725">
        <f>IF(D1042="","-",+C1054+1)</f>
        <v>2024</v>
      </c>
      <c r="D1055" s="676">
        <f t="shared" si="102"/>
        <v>8281141.3050847463</v>
      </c>
      <c r="E1055" s="732">
        <f t="shared" si="103"/>
        <v>156247.94915254237</v>
      </c>
      <c r="F1055" s="732">
        <f t="shared" si="96"/>
        <v>8124893.3559322041</v>
      </c>
      <c r="G1055" s="676">
        <f t="shared" si="97"/>
        <v>8203017.3305084752</v>
      </c>
      <c r="H1055" s="726">
        <f>+J1043*G1055+E1055</f>
        <v>1041405.8503475165</v>
      </c>
      <c r="I1055" s="733">
        <f>+J1044*G1055+E1055</f>
        <v>1041405.8503475165</v>
      </c>
      <c r="J1055" s="729">
        <f t="shared" si="98"/>
        <v>0</v>
      </c>
      <c r="K1055" s="729"/>
      <c r="L1055" s="734">
        <v>0</v>
      </c>
      <c r="M1055" s="729">
        <f t="shared" si="99"/>
        <v>0</v>
      </c>
      <c r="N1055" s="734">
        <v>0</v>
      </c>
      <c r="O1055" s="729">
        <f t="shared" si="100"/>
        <v>0</v>
      </c>
      <c r="P1055" s="729">
        <f t="shared" si="101"/>
        <v>0</v>
      </c>
      <c r="Q1055" s="677"/>
    </row>
    <row r="1056" spans="1:17">
      <c r="B1056" s="334"/>
      <c r="C1056" s="725">
        <f>IF(D1042="","-",+C1055+1)</f>
        <v>2025</v>
      </c>
      <c r="D1056" s="676">
        <f t="shared" si="102"/>
        <v>8124893.3559322041</v>
      </c>
      <c r="E1056" s="732">
        <f t="shared" si="103"/>
        <v>156247.94915254237</v>
      </c>
      <c r="F1056" s="732">
        <f t="shared" si="96"/>
        <v>7968645.4067796618</v>
      </c>
      <c r="G1056" s="676">
        <f t="shared" si="97"/>
        <v>8046769.3813559329</v>
      </c>
      <c r="H1056" s="726">
        <f>+J1043*G1056+E1056</f>
        <v>1024545.6998485647</v>
      </c>
      <c r="I1056" s="733">
        <f>+J1044*G1056+E1056</f>
        <v>1024545.6998485647</v>
      </c>
      <c r="J1056" s="729">
        <f t="shared" si="98"/>
        <v>0</v>
      </c>
      <c r="K1056" s="729"/>
      <c r="L1056" s="734">
        <v>0</v>
      </c>
      <c r="M1056" s="729">
        <f t="shared" si="99"/>
        <v>0</v>
      </c>
      <c r="N1056" s="734">
        <v>0</v>
      </c>
      <c r="O1056" s="729">
        <f t="shared" si="100"/>
        <v>0</v>
      </c>
      <c r="P1056" s="729">
        <f t="shared" si="101"/>
        <v>0</v>
      </c>
      <c r="Q1056" s="677"/>
    </row>
    <row r="1057" spans="2:17">
      <c r="B1057" s="334"/>
      <c r="C1057" s="725">
        <f>IF(D1042="","-",+C1056+1)</f>
        <v>2026</v>
      </c>
      <c r="D1057" s="676">
        <f t="shared" si="102"/>
        <v>7968645.4067796618</v>
      </c>
      <c r="E1057" s="732">
        <f t="shared" si="103"/>
        <v>156247.94915254237</v>
      </c>
      <c r="F1057" s="732">
        <f t="shared" si="96"/>
        <v>7812397.4576271195</v>
      </c>
      <c r="G1057" s="676">
        <f t="shared" si="97"/>
        <v>7890521.4322033906</v>
      </c>
      <c r="H1057" s="726">
        <f>+J1043*G1057+E1057</f>
        <v>1007685.5493496128</v>
      </c>
      <c r="I1057" s="733">
        <f>+J1044*G1057+E1057</f>
        <v>1007685.5493496128</v>
      </c>
      <c r="J1057" s="729">
        <f t="shared" si="98"/>
        <v>0</v>
      </c>
      <c r="K1057" s="729"/>
      <c r="L1057" s="734">
        <v>0</v>
      </c>
      <c r="M1057" s="729">
        <f t="shared" si="99"/>
        <v>0</v>
      </c>
      <c r="N1057" s="734">
        <v>0</v>
      </c>
      <c r="O1057" s="729">
        <f t="shared" si="100"/>
        <v>0</v>
      </c>
      <c r="P1057" s="729">
        <f t="shared" si="101"/>
        <v>0</v>
      </c>
      <c r="Q1057" s="677"/>
    </row>
    <row r="1058" spans="2:17">
      <c r="B1058" s="334"/>
      <c r="C1058" s="725">
        <f>IF(D1042="","-",+C1057+1)</f>
        <v>2027</v>
      </c>
      <c r="D1058" s="676">
        <f t="shared" si="102"/>
        <v>7812397.4576271195</v>
      </c>
      <c r="E1058" s="732">
        <f t="shared" si="103"/>
        <v>156247.94915254237</v>
      </c>
      <c r="F1058" s="732">
        <f t="shared" si="96"/>
        <v>7656149.5084745772</v>
      </c>
      <c r="G1058" s="676">
        <f t="shared" si="97"/>
        <v>7734273.4830508484</v>
      </c>
      <c r="H1058" s="726">
        <f>+J1043*G1058+E1058</f>
        <v>990825.39885066089</v>
      </c>
      <c r="I1058" s="733">
        <f>+J1044*G1058+E1058</f>
        <v>990825.39885066089</v>
      </c>
      <c r="J1058" s="729">
        <f t="shared" si="98"/>
        <v>0</v>
      </c>
      <c r="K1058" s="729"/>
      <c r="L1058" s="734">
        <v>0</v>
      </c>
      <c r="M1058" s="729">
        <f t="shared" si="99"/>
        <v>0</v>
      </c>
      <c r="N1058" s="734">
        <v>0</v>
      </c>
      <c r="O1058" s="729">
        <f t="shared" si="100"/>
        <v>0</v>
      </c>
      <c r="P1058" s="729">
        <f t="shared" si="101"/>
        <v>0</v>
      </c>
      <c r="Q1058" s="677"/>
    </row>
    <row r="1059" spans="2:17">
      <c r="B1059" s="334"/>
      <c r="C1059" s="725">
        <f>IF(D1042="","-",+C1058+1)</f>
        <v>2028</v>
      </c>
      <c r="D1059" s="676">
        <f t="shared" si="102"/>
        <v>7656149.5084745772</v>
      </c>
      <c r="E1059" s="732">
        <f t="shared" si="103"/>
        <v>156247.94915254237</v>
      </c>
      <c r="F1059" s="732">
        <f t="shared" si="96"/>
        <v>7499901.5593220349</v>
      </c>
      <c r="G1059" s="676">
        <f t="shared" si="97"/>
        <v>7578025.5338983061</v>
      </c>
      <c r="H1059" s="726">
        <f>+J1043*G1059+E1059</f>
        <v>973965.24835170899</v>
      </c>
      <c r="I1059" s="733">
        <f>+J1044*G1059+E1059</f>
        <v>973965.24835170899</v>
      </c>
      <c r="J1059" s="729">
        <f t="shared" si="98"/>
        <v>0</v>
      </c>
      <c r="K1059" s="729"/>
      <c r="L1059" s="734"/>
      <c r="M1059" s="729">
        <f t="shared" si="99"/>
        <v>0</v>
      </c>
      <c r="N1059" s="734"/>
      <c r="O1059" s="729">
        <f t="shared" si="100"/>
        <v>0</v>
      </c>
      <c r="P1059" s="729">
        <f t="shared" si="101"/>
        <v>0</v>
      </c>
      <c r="Q1059" s="677"/>
    </row>
    <row r="1060" spans="2:17">
      <c r="B1060" s="334"/>
      <c r="C1060" s="725">
        <f>IF(D1042="","-",+C1059+1)</f>
        <v>2029</v>
      </c>
      <c r="D1060" s="676">
        <f t="shared" si="102"/>
        <v>7499901.5593220349</v>
      </c>
      <c r="E1060" s="732">
        <f t="shared" si="103"/>
        <v>156247.94915254237</v>
      </c>
      <c r="F1060" s="732">
        <f t="shared" si="96"/>
        <v>7343653.6101694927</v>
      </c>
      <c r="G1060" s="676">
        <f t="shared" si="97"/>
        <v>7421777.5847457638</v>
      </c>
      <c r="H1060" s="726">
        <f>+J1043*G1060+E1060</f>
        <v>957105.09785275708</v>
      </c>
      <c r="I1060" s="733">
        <f>+J1044*G1060+E1060</f>
        <v>957105.09785275708</v>
      </c>
      <c r="J1060" s="729">
        <f t="shared" si="98"/>
        <v>0</v>
      </c>
      <c r="K1060" s="729"/>
      <c r="L1060" s="734"/>
      <c r="M1060" s="729">
        <f t="shared" si="99"/>
        <v>0</v>
      </c>
      <c r="N1060" s="734"/>
      <c r="O1060" s="729">
        <f t="shared" si="100"/>
        <v>0</v>
      </c>
      <c r="P1060" s="729">
        <f t="shared" si="101"/>
        <v>0</v>
      </c>
      <c r="Q1060" s="677"/>
    </row>
    <row r="1061" spans="2:17">
      <c r="B1061" s="334"/>
      <c r="C1061" s="725">
        <f>IF(D1042="","-",+C1060+1)</f>
        <v>2030</v>
      </c>
      <c r="D1061" s="676">
        <f t="shared" si="102"/>
        <v>7343653.6101694927</v>
      </c>
      <c r="E1061" s="732">
        <f t="shared" si="103"/>
        <v>156247.94915254237</v>
      </c>
      <c r="F1061" s="732">
        <f t="shared" si="96"/>
        <v>7187405.6610169504</v>
      </c>
      <c r="G1061" s="676">
        <f t="shared" si="97"/>
        <v>7265529.6355932215</v>
      </c>
      <c r="H1061" s="726">
        <f>+J1043*G1061+E1061</f>
        <v>940244.9473538053</v>
      </c>
      <c r="I1061" s="733">
        <f>+J1044*G1061+E1061</f>
        <v>940244.9473538053</v>
      </c>
      <c r="J1061" s="729">
        <f t="shared" si="98"/>
        <v>0</v>
      </c>
      <c r="K1061" s="729"/>
      <c r="L1061" s="734"/>
      <c r="M1061" s="729">
        <f t="shared" si="99"/>
        <v>0</v>
      </c>
      <c r="N1061" s="734"/>
      <c r="O1061" s="729">
        <f t="shared" si="100"/>
        <v>0</v>
      </c>
      <c r="P1061" s="729">
        <f t="shared" si="101"/>
        <v>0</v>
      </c>
      <c r="Q1061" s="677"/>
    </row>
    <row r="1062" spans="2:17">
      <c r="B1062" s="334"/>
      <c r="C1062" s="725">
        <f>IF(D1042="","-",+C1061+1)</f>
        <v>2031</v>
      </c>
      <c r="D1062" s="676">
        <f t="shared" si="102"/>
        <v>7187405.6610169504</v>
      </c>
      <c r="E1062" s="732">
        <f t="shared" si="103"/>
        <v>156247.94915254237</v>
      </c>
      <c r="F1062" s="732">
        <f t="shared" si="96"/>
        <v>7031157.7118644081</v>
      </c>
      <c r="G1062" s="676">
        <f t="shared" si="97"/>
        <v>7109281.6864406792</v>
      </c>
      <c r="H1062" s="726">
        <f>+J1043*G1062+E1062</f>
        <v>923384.7968548534</v>
      </c>
      <c r="I1062" s="733">
        <f>+J1044*G1062+E1062</f>
        <v>923384.7968548534</v>
      </c>
      <c r="J1062" s="729">
        <f t="shared" si="98"/>
        <v>0</v>
      </c>
      <c r="K1062" s="729"/>
      <c r="L1062" s="734"/>
      <c r="M1062" s="729">
        <f t="shared" si="99"/>
        <v>0</v>
      </c>
      <c r="N1062" s="734"/>
      <c r="O1062" s="729">
        <f t="shared" si="100"/>
        <v>0</v>
      </c>
      <c r="P1062" s="729">
        <f t="shared" si="101"/>
        <v>0</v>
      </c>
      <c r="Q1062" s="677"/>
    </row>
    <row r="1063" spans="2:17">
      <c r="B1063" s="334"/>
      <c r="C1063" s="725">
        <f>IF(D1042="","-",+C1062+1)</f>
        <v>2032</v>
      </c>
      <c r="D1063" s="676">
        <f t="shared" si="102"/>
        <v>7031157.7118644081</v>
      </c>
      <c r="E1063" s="732">
        <f t="shared" si="103"/>
        <v>156247.94915254237</v>
      </c>
      <c r="F1063" s="732">
        <f t="shared" si="96"/>
        <v>6874909.7627118658</v>
      </c>
      <c r="G1063" s="676">
        <f t="shared" si="97"/>
        <v>6953033.737288137</v>
      </c>
      <c r="H1063" s="726">
        <f>+J1043*G1063+E1063</f>
        <v>906524.6463559015</v>
      </c>
      <c r="I1063" s="733">
        <f>+J1044*G1063+E1063</f>
        <v>906524.6463559015</v>
      </c>
      <c r="J1063" s="729">
        <f t="shared" si="98"/>
        <v>0</v>
      </c>
      <c r="K1063" s="729"/>
      <c r="L1063" s="734"/>
      <c r="M1063" s="729">
        <f t="shared" si="99"/>
        <v>0</v>
      </c>
      <c r="N1063" s="734"/>
      <c r="O1063" s="729">
        <f t="shared" si="100"/>
        <v>0</v>
      </c>
      <c r="P1063" s="729">
        <f t="shared" si="101"/>
        <v>0</v>
      </c>
      <c r="Q1063" s="677"/>
    </row>
    <row r="1064" spans="2:17">
      <c r="B1064" s="334"/>
      <c r="C1064" s="725">
        <f>IF(D1042="","-",+C1063+1)</f>
        <v>2033</v>
      </c>
      <c r="D1064" s="676">
        <f t="shared" si="102"/>
        <v>6874909.7627118658</v>
      </c>
      <c r="E1064" s="732">
        <f t="shared" si="103"/>
        <v>156247.94915254237</v>
      </c>
      <c r="F1064" s="732">
        <f t="shared" si="96"/>
        <v>6718661.8135593235</v>
      </c>
      <c r="G1064" s="676">
        <f t="shared" si="97"/>
        <v>6796785.7881355947</v>
      </c>
      <c r="H1064" s="726">
        <f>+J1043*G1064+E1064</f>
        <v>889664.49585694959</v>
      </c>
      <c r="I1064" s="733">
        <f>+J1044*G1064+E1064</f>
        <v>889664.49585694959</v>
      </c>
      <c r="J1064" s="729">
        <f t="shared" si="98"/>
        <v>0</v>
      </c>
      <c r="K1064" s="729"/>
      <c r="L1064" s="734"/>
      <c r="M1064" s="729">
        <f t="shared" si="99"/>
        <v>0</v>
      </c>
      <c r="N1064" s="734"/>
      <c r="O1064" s="729">
        <f t="shared" si="100"/>
        <v>0</v>
      </c>
      <c r="P1064" s="729">
        <f t="shared" si="101"/>
        <v>0</v>
      </c>
      <c r="Q1064" s="677"/>
    </row>
    <row r="1065" spans="2:17">
      <c r="B1065" s="334"/>
      <c r="C1065" s="725">
        <f>IF(D1042="","-",+C1064+1)</f>
        <v>2034</v>
      </c>
      <c r="D1065" s="676">
        <f t="shared" si="102"/>
        <v>6718661.8135593235</v>
      </c>
      <c r="E1065" s="732">
        <f t="shared" si="103"/>
        <v>156247.94915254237</v>
      </c>
      <c r="F1065" s="732">
        <f t="shared" si="96"/>
        <v>6562413.8644067813</v>
      </c>
      <c r="G1065" s="676">
        <f t="shared" si="97"/>
        <v>6640537.8389830524</v>
      </c>
      <c r="H1065" s="726">
        <f>+J1043*G1065+E1065</f>
        <v>872804.34535799769</v>
      </c>
      <c r="I1065" s="733">
        <f>+J1044*G1065+E1065</f>
        <v>872804.34535799769</v>
      </c>
      <c r="J1065" s="729">
        <f t="shared" si="98"/>
        <v>0</v>
      </c>
      <c r="K1065" s="729"/>
      <c r="L1065" s="734"/>
      <c r="M1065" s="729">
        <f t="shared" si="99"/>
        <v>0</v>
      </c>
      <c r="N1065" s="734"/>
      <c r="O1065" s="729">
        <f t="shared" si="100"/>
        <v>0</v>
      </c>
      <c r="P1065" s="729">
        <f t="shared" si="101"/>
        <v>0</v>
      </c>
      <c r="Q1065" s="677"/>
    </row>
    <row r="1066" spans="2:17">
      <c r="B1066" s="334"/>
      <c r="C1066" s="725">
        <f>IF(D1042="","-",+C1065+1)</f>
        <v>2035</v>
      </c>
      <c r="D1066" s="676">
        <f t="shared" si="102"/>
        <v>6562413.8644067813</v>
      </c>
      <c r="E1066" s="732">
        <f t="shared" si="103"/>
        <v>156247.94915254237</v>
      </c>
      <c r="F1066" s="732">
        <f t="shared" si="96"/>
        <v>6406165.915254239</v>
      </c>
      <c r="G1066" s="676">
        <f t="shared" si="97"/>
        <v>6484289.8898305101</v>
      </c>
      <c r="H1066" s="726">
        <f>+J1043*G1066+E1066</f>
        <v>855944.19485904591</v>
      </c>
      <c r="I1066" s="733">
        <f>+J1044*G1066+E1066</f>
        <v>855944.19485904591</v>
      </c>
      <c r="J1066" s="729">
        <f t="shared" si="98"/>
        <v>0</v>
      </c>
      <c r="K1066" s="729"/>
      <c r="L1066" s="734"/>
      <c r="M1066" s="729">
        <f t="shared" si="99"/>
        <v>0</v>
      </c>
      <c r="N1066" s="734"/>
      <c r="O1066" s="729">
        <f t="shared" si="100"/>
        <v>0</v>
      </c>
      <c r="P1066" s="729">
        <f t="shared" si="101"/>
        <v>0</v>
      </c>
      <c r="Q1066" s="677"/>
    </row>
    <row r="1067" spans="2:17">
      <c r="B1067" s="334"/>
      <c r="C1067" s="725">
        <f>IF(D1042="","-",+C1066+1)</f>
        <v>2036</v>
      </c>
      <c r="D1067" s="676">
        <f t="shared" si="102"/>
        <v>6406165.915254239</v>
      </c>
      <c r="E1067" s="732">
        <f t="shared" si="103"/>
        <v>156247.94915254237</v>
      </c>
      <c r="F1067" s="732">
        <f t="shared" si="96"/>
        <v>6249917.9661016967</v>
      </c>
      <c r="G1067" s="676">
        <f t="shared" si="97"/>
        <v>6328041.9406779679</v>
      </c>
      <c r="H1067" s="726">
        <f>+J1043*G1067+E1067</f>
        <v>839084.04436009401</v>
      </c>
      <c r="I1067" s="733">
        <f>+J1044*G1067+E1067</f>
        <v>839084.04436009401</v>
      </c>
      <c r="J1067" s="729">
        <f t="shared" si="98"/>
        <v>0</v>
      </c>
      <c r="K1067" s="729"/>
      <c r="L1067" s="734"/>
      <c r="M1067" s="729">
        <f t="shared" si="99"/>
        <v>0</v>
      </c>
      <c r="N1067" s="734"/>
      <c r="O1067" s="729">
        <f t="shared" si="100"/>
        <v>0</v>
      </c>
      <c r="P1067" s="729">
        <f t="shared" si="101"/>
        <v>0</v>
      </c>
      <c r="Q1067" s="677"/>
    </row>
    <row r="1068" spans="2:17">
      <c r="B1068" s="334"/>
      <c r="C1068" s="725">
        <f>IF(D1042="","-",+C1067+1)</f>
        <v>2037</v>
      </c>
      <c r="D1068" s="676">
        <f t="shared" si="102"/>
        <v>6249917.9661016967</v>
      </c>
      <c r="E1068" s="732">
        <f t="shared" si="103"/>
        <v>156247.94915254237</v>
      </c>
      <c r="F1068" s="732">
        <f t="shared" si="96"/>
        <v>6093670.0169491544</v>
      </c>
      <c r="G1068" s="676">
        <f t="shared" si="97"/>
        <v>6171793.9915254256</v>
      </c>
      <c r="H1068" s="726">
        <f>+J1043*G1068+E1068</f>
        <v>822223.8938611421</v>
      </c>
      <c r="I1068" s="733">
        <f>+J1044*G1068+E1068</f>
        <v>822223.8938611421</v>
      </c>
      <c r="J1068" s="729">
        <f t="shared" si="98"/>
        <v>0</v>
      </c>
      <c r="K1068" s="729"/>
      <c r="L1068" s="734"/>
      <c r="M1068" s="729">
        <f t="shared" si="99"/>
        <v>0</v>
      </c>
      <c r="N1068" s="734"/>
      <c r="O1068" s="729">
        <f t="shared" si="100"/>
        <v>0</v>
      </c>
      <c r="P1068" s="729">
        <f t="shared" si="101"/>
        <v>0</v>
      </c>
      <c r="Q1068" s="677"/>
    </row>
    <row r="1069" spans="2:17">
      <c r="B1069" s="334"/>
      <c r="C1069" s="725">
        <f>IF(D1042="","-",+C1068+1)</f>
        <v>2038</v>
      </c>
      <c r="D1069" s="676">
        <f t="shared" si="102"/>
        <v>6093670.0169491544</v>
      </c>
      <c r="E1069" s="732">
        <f t="shared" si="103"/>
        <v>156247.94915254237</v>
      </c>
      <c r="F1069" s="732">
        <f t="shared" si="96"/>
        <v>5937422.0677966122</v>
      </c>
      <c r="G1069" s="676">
        <f t="shared" si="97"/>
        <v>6015546.0423728833</v>
      </c>
      <c r="H1069" s="726">
        <f>+J1043*G1069+E1069</f>
        <v>805363.7433621902</v>
      </c>
      <c r="I1069" s="733">
        <f>+J1044*G1069+E1069</f>
        <v>805363.7433621902</v>
      </c>
      <c r="J1069" s="729">
        <f t="shared" si="98"/>
        <v>0</v>
      </c>
      <c r="K1069" s="729"/>
      <c r="L1069" s="734"/>
      <c r="M1069" s="729">
        <f t="shared" si="99"/>
        <v>0</v>
      </c>
      <c r="N1069" s="734"/>
      <c r="O1069" s="729">
        <f t="shared" si="100"/>
        <v>0</v>
      </c>
      <c r="P1069" s="729">
        <f t="shared" si="101"/>
        <v>0</v>
      </c>
      <c r="Q1069" s="677"/>
    </row>
    <row r="1070" spans="2:17">
      <c r="B1070" s="334"/>
      <c r="C1070" s="725">
        <f>IF(D1042="","-",+C1069+1)</f>
        <v>2039</v>
      </c>
      <c r="D1070" s="676">
        <f t="shared" si="102"/>
        <v>5937422.0677966122</v>
      </c>
      <c r="E1070" s="732">
        <f t="shared" si="103"/>
        <v>156247.94915254237</v>
      </c>
      <c r="F1070" s="732">
        <f t="shared" si="96"/>
        <v>5781174.1186440699</v>
      </c>
      <c r="G1070" s="676">
        <f t="shared" si="97"/>
        <v>5859298.093220341</v>
      </c>
      <c r="H1070" s="726">
        <f>+J1043*G1070+E1070</f>
        <v>788503.59286323842</v>
      </c>
      <c r="I1070" s="733">
        <f>+J1044*G1070+E1070</f>
        <v>788503.59286323842</v>
      </c>
      <c r="J1070" s="729">
        <f t="shared" si="98"/>
        <v>0</v>
      </c>
      <c r="K1070" s="729"/>
      <c r="L1070" s="734"/>
      <c r="M1070" s="729">
        <f t="shared" si="99"/>
        <v>0</v>
      </c>
      <c r="N1070" s="734"/>
      <c r="O1070" s="729">
        <f t="shared" si="100"/>
        <v>0</v>
      </c>
      <c r="P1070" s="729">
        <f t="shared" si="101"/>
        <v>0</v>
      </c>
      <c r="Q1070" s="677"/>
    </row>
    <row r="1071" spans="2:17">
      <c r="B1071" s="334"/>
      <c r="C1071" s="725">
        <f>IF(D1042="","-",+C1070+1)</f>
        <v>2040</v>
      </c>
      <c r="D1071" s="676">
        <f t="shared" si="102"/>
        <v>5781174.1186440699</v>
      </c>
      <c r="E1071" s="732">
        <f t="shared" si="103"/>
        <v>156247.94915254237</v>
      </c>
      <c r="F1071" s="732">
        <f t="shared" si="96"/>
        <v>5624926.1694915276</v>
      </c>
      <c r="G1071" s="676">
        <f t="shared" si="97"/>
        <v>5703050.1440677987</v>
      </c>
      <c r="H1071" s="726">
        <f>+J1043*G1071+E1071</f>
        <v>771643.44236428651</v>
      </c>
      <c r="I1071" s="733">
        <f>+J1044*G1071+E1071</f>
        <v>771643.44236428651</v>
      </c>
      <c r="J1071" s="729">
        <f t="shared" si="98"/>
        <v>0</v>
      </c>
      <c r="K1071" s="729"/>
      <c r="L1071" s="734"/>
      <c r="M1071" s="729">
        <f t="shared" si="99"/>
        <v>0</v>
      </c>
      <c r="N1071" s="734"/>
      <c r="O1071" s="729">
        <f t="shared" si="100"/>
        <v>0</v>
      </c>
      <c r="P1071" s="729">
        <f t="shared" si="101"/>
        <v>0</v>
      </c>
      <c r="Q1071" s="677"/>
    </row>
    <row r="1072" spans="2:17">
      <c r="B1072" s="334"/>
      <c r="C1072" s="725">
        <f>IF(D1042="","-",+C1071+1)</f>
        <v>2041</v>
      </c>
      <c r="D1072" s="676">
        <f t="shared" si="102"/>
        <v>5624926.1694915276</v>
      </c>
      <c r="E1072" s="732">
        <f t="shared" si="103"/>
        <v>156247.94915254237</v>
      </c>
      <c r="F1072" s="732">
        <f t="shared" si="96"/>
        <v>5468678.2203389853</v>
      </c>
      <c r="G1072" s="676">
        <f t="shared" si="97"/>
        <v>5546802.1949152565</v>
      </c>
      <c r="H1072" s="726">
        <f>+J1043*G1072+E1072</f>
        <v>754783.29186533461</v>
      </c>
      <c r="I1072" s="733">
        <f>+J1044*G1072+E1072</f>
        <v>754783.29186533461</v>
      </c>
      <c r="J1072" s="729">
        <f t="shared" si="98"/>
        <v>0</v>
      </c>
      <c r="K1072" s="729"/>
      <c r="L1072" s="734"/>
      <c r="M1072" s="729">
        <f t="shared" si="99"/>
        <v>0</v>
      </c>
      <c r="N1072" s="734"/>
      <c r="O1072" s="729">
        <f t="shared" si="100"/>
        <v>0</v>
      </c>
      <c r="P1072" s="729">
        <f t="shared" si="101"/>
        <v>0</v>
      </c>
      <c r="Q1072" s="677"/>
    </row>
    <row r="1073" spans="2:17">
      <c r="B1073" s="334"/>
      <c r="C1073" s="725">
        <f>IF(D1042="","-",+C1072+1)</f>
        <v>2042</v>
      </c>
      <c r="D1073" s="676">
        <f t="shared" si="102"/>
        <v>5468678.2203389853</v>
      </c>
      <c r="E1073" s="732">
        <f t="shared" si="103"/>
        <v>156247.94915254237</v>
      </c>
      <c r="F1073" s="732">
        <f t="shared" si="96"/>
        <v>5312430.271186443</v>
      </c>
      <c r="G1073" s="676">
        <f t="shared" si="97"/>
        <v>5390554.2457627142</v>
      </c>
      <c r="H1073" s="726">
        <f>+J1043*G1073+E1073</f>
        <v>737923.14136638271</v>
      </c>
      <c r="I1073" s="733">
        <f>+J1044*G1073+E1073</f>
        <v>737923.14136638271</v>
      </c>
      <c r="J1073" s="729">
        <f t="shared" si="98"/>
        <v>0</v>
      </c>
      <c r="K1073" s="729"/>
      <c r="L1073" s="734"/>
      <c r="M1073" s="729">
        <f t="shared" si="99"/>
        <v>0</v>
      </c>
      <c r="N1073" s="734"/>
      <c r="O1073" s="729">
        <f t="shared" si="100"/>
        <v>0</v>
      </c>
      <c r="P1073" s="729">
        <f t="shared" si="101"/>
        <v>0</v>
      </c>
      <c r="Q1073" s="677"/>
    </row>
    <row r="1074" spans="2:17">
      <c r="B1074" s="334"/>
      <c r="C1074" s="725">
        <f>IF(D1042="","-",+C1073+1)</f>
        <v>2043</v>
      </c>
      <c r="D1074" s="676">
        <f t="shared" si="102"/>
        <v>5312430.271186443</v>
      </c>
      <c r="E1074" s="732">
        <f t="shared" si="103"/>
        <v>156247.94915254237</v>
      </c>
      <c r="F1074" s="732">
        <f t="shared" si="96"/>
        <v>5156182.3220339008</v>
      </c>
      <c r="G1074" s="676">
        <f t="shared" si="97"/>
        <v>5234306.2966101719</v>
      </c>
      <c r="H1074" s="726">
        <f>+J1043*G1074+E1074</f>
        <v>721062.99086743081</v>
      </c>
      <c r="I1074" s="733">
        <f>+J1044*G1074+E1074</f>
        <v>721062.99086743081</v>
      </c>
      <c r="J1074" s="729">
        <f t="shared" si="98"/>
        <v>0</v>
      </c>
      <c r="K1074" s="729"/>
      <c r="L1074" s="734"/>
      <c r="M1074" s="729">
        <f t="shared" si="99"/>
        <v>0</v>
      </c>
      <c r="N1074" s="734"/>
      <c r="O1074" s="729">
        <f t="shared" si="100"/>
        <v>0</v>
      </c>
      <c r="P1074" s="729">
        <f t="shared" si="101"/>
        <v>0</v>
      </c>
      <c r="Q1074" s="677"/>
    </row>
    <row r="1075" spans="2:17">
      <c r="B1075" s="334"/>
      <c r="C1075" s="725">
        <f>IF(D1042="","-",+C1074+1)</f>
        <v>2044</v>
      </c>
      <c r="D1075" s="676">
        <f t="shared" si="102"/>
        <v>5156182.3220339008</v>
      </c>
      <c r="E1075" s="732">
        <f t="shared" si="103"/>
        <v>156247.94915254237</v>
      </c>
      <c r="F1075" s="732">
        <f t="shared" si="96"/>
        <v>4999934.3728813585</v>
      </c>
      <c r="G1075" s="676">
        <f t="shared" si="97"/>
        <v>5078058.3474576296</v>
      </c>
      <c r="H1075" s="726">
        <f>+J1043*G1075+E1075</f>
        <v>704202.84036847902</v>
      </c>
      <c r="I1075" s="733">
        <f>+J1044*G1075+E1075</f>
        <v>704202.84036847902</v>
      </c>
      <c r="J1075" s="729">
        <f t="shared" si="98"/>
        <v>0</v>
      </c>
      <c r="K1075" s="729"/>
      <c r="L1075" s="734"/>
      <c r="M1075" s="729">
        <f t="shared" si="99"/>
        <v>0</v>
      </c>
      <c r="N1075" s="734"/>
      <c r="O1075" s="729">
        <f t="shared" si="100"/>
        <v>0</v>
      </c>
      <c r="P1075" s="729">
        <f t="shared" si="101"/>
        <v>0</v>
      </c>
      <c r="Q1075" s="677"/>
    </row>
    <row r="1076" spans="2:17">
      <c r="B1076" s="334"/>
      <c r="C1076" s="725">
        <f>IF(D1042="","-",+C1075+1)</f>
        <v>2045</v>
      </c>
      <c r="D1076" s="676">
        <f t="shared" si="102"/>
        <v>4999934.3728813585</v>
      </c>
      <c r="E1076" s="732">
        <f t="shared" si="103"/>
        <v>156247.94915254237</v>
      </c>
      <c r="F1076" s="732">
        <f t="shared" si="96"/>
        <v>4843686.4237288162</v>
      </c>
      <c r="G1076" s="676">
        <f t="shared" si="97"/>
        <v>4921810.3983050874</v>
      </c>
      <c r="H1076" s="726">
        <f>+J1043*G1076+E1076</f>
        <v>687342.68986952712</v>
      </c>
      <c r="I1076" s="733">
        <f>+J1044*G1076+E1076</f>
        <v>687342.68986952712</v>
      </c>
      <c r="J1076" s="729">
        <f t="shared" si="98"/>
        <v>0</v>
      </c>
      <c r="K1076" s="729"/>
      <c r="L1076" s="734"/>
      <c r="M1076" s="729">
        <f t="shared" si="99"/>
        <v>0</v>
      </c>
      <c r="N1076" s="734"/>
      <c r="O1076" s="729">
        <f t="shared" si="100"/>
        <v>0</v>
      </c>
      <c r="P1076" s="729">
        <f t="shared" si="101"/>
        <v>0</v>
      </c>
      <c r="Q1076" s="677"/>
    </row>
    <row r="1077" spans="2:17">
      <c r="B1077" s="334"/>
      <c r="C1077" s="725">
        <f>IF(D1042="","-",+C1076+1)</f>
        <v>2046</v>
      </c>
      <c r="D1077" s="676">
        <f t="shared" si="102"/>
        <v>4843686.4237288162</v>
      </c>
      <c r="E1077" s="732">
        <f t="shared" si="103"/>
        <v>156247.94915254237</v>
      </c>
      <c r="F1077" s="732">
        <f t="shared" si="96"/>
        <v>4687438.4745762739</v>
      </c>
      <c r="G1077" s="676">
        <f t="shared" si="97"/>
        <v>4765562.4491525451</v>
      </c>
      <c r="H1077" s="726">
        <f>+J1043*G1077+E1077</f>
        <v>670482.53937057522</v>
      </c>
      <c r="I1077" s="733">
        <f>+J1044*G1077+E1077</f>
        <v>670482.53937057522</v>
      </c>
      <c r="J1077" s="729">
        <f t="shared" si="98"/>
        <v>0</v>
      </c>
      <c r="K1077" s="729"/>
      <c r="L1077" s="734"/>
      <c r="M1077" s="729">
        <f t="shared" si="99"/>
        <v>0</v>
      </c>
      <c r="N1077" s="734"/>
      <c r="O1077" s="729">
        <f t="shared" si="100"/>
        <v>0</v>
      </c>
      <c r="P1077" s="729">
        <f t="shared" si="101"/>
        <v>0</v>
      </c>
      <c r="Q1077" s="677"/>
    </row>
    <row r="1078" spans="2:17">
      <c r="B1078" s="334"/>
      <c r="C1078" s="725">
        <f>IF(D1042="","-",+C1077+1)</f>
        <v>2047</v>
      </c>
      <c r="D1078" s="676">
        <f t="shared" si="102"/>
        <v>4687438.4745762739</v>
      </c>
      <c r="E1078" s="732">
        <f t="shared" si="103"/>
        <v>156247.94915254237</v>
      </c>
      <c r="F1078" s="732">
        <f t="shared" si="96"/>
        <v>4531190.5254237317</v>
      </c>
      <c r="G1078" s="676">
        <f t="shared" si="97"/>
        <v>4609314.5000000028</v>
      </c>
      <c r="H1078" s="726">
        <f>+J1043*G1078+E1078</f>
        <v>653622.38887162332</v>
      </c>
      <c r="I1078" s="733">
        <f>+J1044*G1078+E1078</f>
        <v>653622.38887162332</v>
      </c>
      <c r="J1078" s="729">
        <f t="shared" si="98"/>
        <v>0</v>
      </c>
      <c r="K1078" s="729"/>
      <c r="L1078" s="734"/>
      <c r="M1078" s="729">
        <f t="shared" si="99"/>
        <v>0</v>
      </c>
      <c r="N1078" s="734"/>
      <c r="O1078" s="729">
        <f t="shared" si="100"/>
        <v>0</v>
      </c>
      <c r="P1078" s="729">
        <f t="shared" si="101"/>
        <v>0</v>
      </c>
      <c r="Q1078" s="677"/>
    </row>
    <row r="1079" spans="2:17">
      <c r="B1079" s="334"/>
      <c r="C1079" s="725">
        <f>IF(D1042="","-",+C1078+1)</f>
        <v>2048</v>
      </c>
      <c r="D1079" s="676">
        <f t="shared" si="102"/>
        <v>4531190.5254237317</v>
      </c>
      <c r="E1079" s="732">
        <f t="shared" si="103"/>
        <v>156247.94915254237</v>
      </c>
      <c r="F1079" s="732">
        <f t="shared" si="96"/>
        <v>4374942.5762711894</v>
      </c>
      <c r="G1079" s="676">
        <f t="shared" si="97"/>
        <v>4453066.5508474605</v>
      </c>
      <c r="H1079" s="726">
        <f>+J1043*G1079+E1079</f>
        <v>636762.23837267142</v>
      </c>
      <c r="I1079" s="733">
        <f>+J1044*G1079+E1079</f>
        <v>636762.23837267142</v>
      </c>
      <c r="J1079" s="729">
        <f t="shared" si="98"/>
        <v>0</v>
      </c>
      <c r="K1079" s="729"/>
      <c r="L1079" s="734"/>
      <c r="M1079" s="729">
        <f t="shared" si="99"/>
        <v>0</v>
      </c>
      <c r="N1079" s="734"/>
      <c r="O1079" s="729">
        <f t="shared" si="100"/>
        <v>0</v>
      </c>
      <c r="P1079" s="729">
        <f t="shared" si="101"/>
        <v>0</v>
      </c>
      <c r="Q1079" s="677"/>
    </row>
    <row r="1080" spans="2:17">
      <c r="B1080" s="334"/>
      <c r="C1080" s="725">
        <f>IF(D1042="","-",+C1079+1)</f>
        <v>2049</v>
      </c>
      <c r="D1080" s="676">
        <f t="shared" si="102"/>
        <v>4374942.5762711894</v>
      </c>
      <c r="E1080" s="732">
        <f t="shared" si="103"/>
        <v>156247.94915254237</v>
      </c>
      <c r="F1080" s="732">
        <f t="shared" si="96"/>
        <v>4218694.6271186471</v>
      </c>
      <c r="G1080" s="676">
        <f t="shared" si="97"/>
        <v>4296818.6016949182</v>
      </c>
      <c r="H1080" s="726">
        <f>+J1043*G1080+E1080</f>
        <v>619902.08787371952</v>
      </c>
      <c r="I1080" s="733">
        <f>+J1044*G1080+E1080</f>
        <v>619902.08787371952</v>
      </c>
      <c r="J1080" s="729">
        <f t="shared" si="98"/>
        <v>0</v>
      </c>
      <c r="K1080" s="729"/>
      <c r="L1080" s="734"/>
      <c r="M1080" s="729">
        <f t="shared" si="99"/>
        <v>0</v>
      </c>
      <c r="N1080" s="734"/>
      <c r="O1080" s="729">
        <f t="shared" si="100"/>
        <v>0</v>
      </c>
      <c r="P1080" s="729">
        <f t="shared" si="101"/>
        <v>0</v>
      </c>
      <c r="Q1080" s="677"/>
    </row>
    <row r="1081" spans="2:17">
      <c r="B1081" s="334"/>
      <c r="C1081" s="725">
        <f>IF(D1042="","-",+C1080+1)</f>
        <v>2050</v>
      </c>
      <c r="D1081" s="676">
        <f t="shared" si="102"/>
        <v>4218694.6271186471</v>
      </c>
      <c r="E1081" s="732">
        <f t="shared" si="103"/>
        <v>156247.94915254237</v>
      </c>
      <c r="F1081" s="732">
        <f t="shared" si="96"/>
        <v>4062446.6779661048</v>
      </c>
      <c r="G1081" s="676">
        <f t="shared" si="97"/>
        <v>4140570.652542376</v>
      </c>
      <c r="H1081" s="726">
        <f>+J1043*G1081+E1081</f>
        <v>603041.93737476773</v>
      </c>
      <c r="I1081" s="733">
        <f>+J1044*G1081+E1081</f>
        <v>603041.93737476773</v>
      </c>
      <c r="J1081" s="729">
        <f t="shared" si="98"/>
        <v>0</v>
      </c>
      <c r="K1081" s="729"/>
      <c r="L1081" s="734"/>
      <c r="M1081" s="729">
        <f t="shared" si="99"/>
        <v>0</v>
      </c>
      <c r="N1081" s="734"/>
      <c r="O1081" s="729">
        <f t="shared" si="100"/>
        <v>0</v>
      </c>
      <c r="P1081" s="729">
        <f t="shared" si="101"/>
        <v>0</v>
      </c>
      <c r="Q1081" s="677"/>
    </row>
    <row r="1082" spans="2:17">
      <c r="B1082" s="334"/>
      <c r="C1082" s="725">
        <f>IF(D1042="","-",+C1081+1)</f>
        <v>2051</v>
      </c>
      <c r="D1082" s="676">
        <f t="shared" si="102"/>
        <v>4062446.6779661048</v>
      </c>
      <c r="E1082" s="732">
        <f t="shared" si="103"/>
        <v>156247.94915254237</v>
      </c>
      <c r="F1082" s="732">
        <f t="shared" si="96"/>
        <v>3906198.7288135625</v>
      </c>
      <c r="G1082" s="676">
        <f t="shared" si="97"/>
        <v>3984322.7033898337</v>
      </c>
      <c r="H1082" s="726">
        <f>+J1043*G1082+E1082</f>
        <v>586181.78687581583</v>
      </c>
      <c r="I1082" s="733">
        <f>+J1044*G1082+E1082</f>
        <v>586181.78687581583</v>
      </c>
      <c r="J1082" s="729">
        <f t="shared" si="98"/>
        <v>0</v>
      </c>
      <c r="K1082" s="729"/>
      <c r="L1082" s="734"/>
      <c r="M1082" s="729">
        <f t="shared" si="99"/>
        <v>0</v>
      </c>
      <c r="N1082" s="734"/>
      <c r="O1082" s="729">
        <f t="shared" si="100"/>
        <v>0</v>
      </c>
      <c r="P1082" s="729">
        <f t="shared" si="101"/>
        <v>0</v>
      </c>
      <c r="Q1082" s="677"/>
    </row>
    <row r="1083" spans="2:17">
      <c r="B1083" s="334"/>
      <c r="C1083" s="725">
        <f>IF(D1042="","-",+C1082+1)</f>
        <v>2052</v>
      </c>
      <c r="D1083" s="676">
        <f t="shared" si="102"/>
        <v>3906198.7288135625</v>
      </c>
      <c r="E1083" s="732">
        <f t="shared" si="103"/>
        <v>156247.94915254237</v>
      </c>
      <c r="F1083" s="732">
        <f t="shared" si="96"/>
        <v>3749950.7796610203</v>
      </c>
      <c r="G1083" s="676">
        <f t="shared" si="97"/>
        <v>3828074.7542372914</v>
      </c>
      <c r="H1083" s="726">
        <f>+J1043*G1083+E1083</f>
        <v>569321.63637686393</v>
      </c>
      <c r="I1083" s="733">
        <f>+J1044*G1083+E1083</f>
        <v>569321.63637686393</v>
      </c>
      <c r="J1083" s="729">
        <f t="shared" si="98"/>
        <v>0</v>
      </c>
      <c r="K1083" s="729"/>
      <c r="L1083" s="734"/>
      <c r="M1083" s="729">
        <f t="shared" si="99"/>
        <v>0</v>
      </c>
      <c r="N1083" s="734"/>
      <c r="O1083" s="729">
        <f t="shared" si="100"/>
        <v>0</v>
      </c>
      <c r="P1083" s="729">
        <f t="shared" si="101"/>
        <v>0</v>
      </c>
      <c r="Q1083" s="677"/>
    </row>
    <row r="1084" spans="2:17">
      <c r="B1084" s="334"/>
      <c r="C1084" s="725">
        <f>IF(D1042="","-",+C1083+1)</f>
        <v>2053</v>
      </c>
      <c r="D1084" s="676">
        <f t="shared" si="102"/>
        <v>3749950.7796610203</v>
      </c>
      <c r="E1084" s="732">
        <f t="shared" si="103"/>
        <v>156247.94915254237</v>
      </c>
      <c r="F1084" s="732">
        <f t="shared" si="96"/>
        <v>3593702.830508478</v>
      </c>
      <c r="G1084" s="676">
        <f t="shared" si="97"/>
        <v>3671826.8050847491</v>
      </c>
      <c r="H1084" s="726">
        <f>+J1043*G1084+E1084</f>
        <v>552461.48587791203</v>
      </c>
      <c r="I1084" s="733">
        <f>+J1044*G1084+E1084</f>
        <v>552461.48587791203</v>
      </c>
      <c r="J1084" s="729">
        <f t="shared" si="98"/>
        <v>0</v>
      </c>
      <c r="K1084" s="729"/>
      <c r="L1084" s="734"/>
      <c r="M1084" s="729">
        <f t="shared" si="99"/>
        <v>0</v>
      </c>
      <c r="N1084" s="734"/>
      <c r="O1084" s="729">
        <f t="shared" si="100"/>
        <v>0</v>
      </c>
      <c r="P1084" s="729">
        <f t="shared" si="101"/>
        <v>0</v>
      </c>
      <c r="Q1084" s="677"/>
    </row>
    <row r="1085" spans="2:17">
      <c r="B1085" s="334"/>
      <c r="C1085" s="725">
        <f>IF(D1042="","-",+C1084+1)</f>
        <v>2054</v>
      </c>
      <c r="D1085" s="676">
        <f t="shared" si="102"/>
        <v>3593702.830508478</v>
      </c>
      <c r="E1085" s="732">
        <f t="shared" si="103"/>
        <v>156247.94915254237</v>
      </c>
      <c r="F1085" s="732">
        <f t="shared" si="96"/>
        <v>3437454.8813559357</v>
      </c>
      <c r="G1085" s="676">
        <f t="shared" si="97"/>
        <v>3515578.8559322068</v>
      </c>
      <c r="H1085" s="726">
        <f>+J1043*G1085+E1085</f>
        <v>535601.33537896024</v>
      </c>
      <c r="I1085" s="733">
        <f>+J1044*G1085+E1085</f>
        <v>535601.33537896024</v>
      </c>
      <c r="J1085" s="729">
        <f t="shared" si="98"/>
        <v>0</v>
      </c>
      <c r="K1085" s="729"/>
      <c r="L1085" s="734"/>
      <c r="M1085" s="729">
        <f t="shared" si="99"/>
        <v>0</v>
      </c>
      <c r="N1085" s="734"/>
      <c r="O1085" s="729">
        <f t="shared" si="100"/>
        <v>0</v>
      </c>
      <c r="P1085" s="729">
        <f t="shared" si="101"/>
        <v>0</v>
      </c>
      <c r="Q1085" s="677"/>
    </row>
    <row r="1086" spans="2:17">
      <c r="B1086" s="334"/>
      <c r="C1086" s="725">
        <f>IF(D1042="","-",+C1085+1)</f>
        <v>2055</v>
      </c>
      <c r="D1086" s="676">
        <f t="shared" si="102"/>
        <v>3437454.8813559357</v>
      </c>
      <c r="E1086" s="732">
        <f t="shared" si="103"/>
        <v>156247.94915254237</v>
      </c>
      <c r="F1086" s="732">
        <f t="shared" si="96"/>
        <v>3281206.9322033934</v>
      </c>
      <c r="G1086" s="676">
        <f t="shared" si="97"/>
        <v>3359330.9067796646</v>
      </c>
      <c r="H1086" s="726">
        <f>+J1043*G1086+E1086</f>
        <v>518741.18488000834</v>
      </c>
      <c r="I1086" s="733">
        <f>+J1044*G1086+E1086</f>
        <v>518741.18488000834</v>
      </c>
      <c r="J1086" s="729">
        <f t="shared" si="98"/>
        <v>0</v>
      </c>
      <c r="K1086" s="729"/>
      <c r="L1086" s="734"/>
      <c r="M1086" s="729">
        <f t="shared" si="99"/>
        <v>0</v>
      </c>
      <c r="N1086" s="734"/>
      <c r="O1086" s="729">
        <f t="shared" si="100"/>
        <v>0</v>
      </c>
      <c r="P1086" s="729">
        <f t="shared" si="101"/>
        <v>0</v>
      </c>
      <c r="Q1086" s="677"/>
    </row>
    <row r="1087" spans="2:17">
      <c r="B1087" s="334"/>
      <c r="C1087" s="725">
        <f>IF(D1042="","-",+C1086+1)</f>
        <v>2056</v>
      </c>
      <c r="D1087" s="676">
        <f t="shared" si="102"/>
        <v>3281206.9322033934</v>
      </c>
      <c r="E1087" s="732">
        <f t="shared" si="103"/>
        <v>156247.94915254237</v>
      </c>
      <c r="F1087" s="732">
        <f t="shared" si="96"/>
        <v>3124958.9830508512</v>
      </c>
      <c r="G1087" s="676">
        <f t="shared" si="97"/>
        <v>3203082.9576271223</v>
      </c>
      <c r="H1087" s="726">
        <f>+J1043*G1087+E1087</f>
        <v>501881.03438105644</v>
      </c>
      <c r="I1087" s="733">
        <f>+J1044*G1087+E1087</f>
        <v>501881.03438105644</v>
      </c>
      <c r="J1087" s="729">
        <f t="shared" si="98"/>
        <v>0</v>
      </c>
      <c r="K1087" s="729"/>
      <c r="L1087" s="734"/>
      <c r="M1087" s="729">
        <f t="shared" si="99"/>
        <v>0</v>
      </c>
      <c r="N1087" s="734"/>
      <c r="O1087" s="729">
        <f t="shared" si="100"/>
        <v>0</v>
      </c>
      <c r="P1087" s="729">
        <f t="shared" si="101"/>
        <v>0</v>
      </c>
      <c r="Q1087" s="677"/>
    </row>
    <row r="1088" spans="2:17">
      <c r="B1088" s="334"/>
      <c r="C1088" s="725">
        <f>IF(D1042="","-",+C1087+1)</f>
        <v>2057</v>
      </c>
      <c r="D1088" s="676">
        <f t="shared" si="102"/>
        <v>3124958.9830508512</v>
      </c>
      <c r="E1088" s="732">
        <f t="shared" si="103"/>
        <v>156247.94915254237</v>
      </c>
      <c r="F1088" s="732">
        <f t="shared" si="96"/>
        <v>2968711.0338983089</v>
      </c>
      <c r="G1088" s="676">
        <f t="shared" si="97"/>
        <v>3046835.00847458</v>
      </c>
      <c r="H1088" s="726">
        <f>+J1043*G1088+E1088</f>
        <v>485020.88388210454</v>
      </c>
      <c r="I1088" s="733">
        <f>+J1044*G1088+E1088</f>
        <v>485020.88388210454</v>
      </c>
      <c r="J1088" s="729">
        <f t="shared" si="98"/>
        <v>0</v>
      </c>
      <c r="K1088" s="729"/>
      <c r="L1088" s="734"/>
      <c r="M1088" s="729">
        <f t="shared" si="99"/>
        <v>0</v>
      </c>
      <c r="N1088" s="734"/>
      <c r="O1088" s="729">
        <f t="shared" si="100"/>
        <v>0</v>
      </c>
      <c r="P1088" s="729">
        <f t="shared" si="101"/>
        <v>0</v>
      </c>
      <c r="Q1088" s="677"/>
    </row>
    <row r="1089" spans="2:17">
      <c r="B1089" s="334"/>
      <c r="C1089" s="725">
        <f>IF(D1042="","-",+C1088+1)</f>
        <v>2058</v>
      </c>
      <c r="D1089" s="676">
        <f t="shared" si="102"/>
        <v>2968711.0338983089</v>
      </c>
      <c r="E1089" s="732">
        <f t="shared" si="103"/>
        <v>156247.94915254237</v>
      </c>
      <c r="F1089" s="732">
        <f t="shared" si="96"/>
        <v>2812463.0847457666</v>
      </c>
      <c r="G1089" s="676">
        <f t="shared" si="97"/>
        <v>2890587.0593220377</v>
      </c>
      <c r="H1089" s="726">
        <f>+J1043*G1089+E1089</f>
        <v>468160.73338315263</v>
      </c>
      <c r="I1089" s="733">
        <f>+J1044*G1089+E1089</f>
        <v>468160.73338315263</v>
      </c>
      <c r="J1089" s="729">
        <f t="shared" si="98"/>
        <v>0</v>
      </c>
      <c r="K1089" s="729"/>
      <c r="L1089" s="734"/>
      <c r="M1089" s="729">
        <f t="shared" si="99"/>
        <v>0</v>
      </c>
      <c r="N1089" s="734"/>
      <c r="O1089" s="729">
        <f t="shared" si="100"/>
        <v>0</v>
      </c>
      <c r="P1089" s="729">
        <f t="shared" si="101"/>
        <v>0</v>
      </c>
      <c r="Q1089" s="677"/>
    </row>
    <row r="1090" spans="2:17">
      <c r="B1090" s="334"/>
      <c r="C1090" s="725">
        <f>IF(D1042="","-",+C1089+1)</f>
        <v>2059</v>
      </c>
      <c r="D1090" s="676">
        <f t="shared" si="102"/>
        <v>2812463.0847457666</v>
      </c>
      <c r="E1090" s="732">
        <f t="shared" si="103"/>
        <v>156247.94915254237</v>
      </c>
      <c r="F1090" s="732">
        <f t="shared" si="96"/>
        <v>2656215.1355932243</v>
      </c>
      <c r="G1090" s="676">
        <f t="shared" si="97"/>
        <v>2734339.1101694955</v>
      </c>
      <c r="H1090" s="726">
        <f>+J1043*G1090+E1090</f>
        <v>451300.58288420085</v>
      </c>
      <c r="I1090" s="733">
        <f>+J1044*G1090+E1090</f>
        <v>451300.58288420085</v>
      </c>
      <c r="J1090" s="729">
        <f t="shared" si="98"/>
        <v>0</v>
      </c>
      <c r="K1090" s="729"/>
      <c r="L1090" s="734"/>
      <c r="M1090" s="729">
        <f t="shared" si="99"/>
        <v>0</v>
      </c>
      <c r="N1090" s="734"/>
      <c r="O1090" s="729">
        <f t="shared" si="100"/>
        <v>0</v>
      </c>
      <c r="P1090" s="729">
        <f t="shared" si="101"/>
        <v>0</v>
      </c>
      <c r="Q1090" s="677"/>
    </row>
    <row r="1091" spans="2:17">
      <c r="B1091" s="334"/>
      <c r="C1091" s="725">
        <f>IF(D1042="","-",+C1090+1)</f>
        <v>2060</v>
      </c>
      <c r="D1091" s="676">
        <f t="shared" si="102"/>
        <v>2656215.1355932243</v>
      </c>
      <c r="E1091" s="732">
        <f t="shared" si="103"/>
        <v>156247.94915254237</v>
      </c>
      <c r="F1091" s="732">
        <f t="shared" si="96"/>
        <v>2499967.186440682</v>
      </c>
      <c r="G1091" s="676">
        <f t="shared" si="97"/>
        <v>2578091.1610169532</v>
      </c>
      <c r="H1091" s="726">
        <f>+J1043*G1091+E1091</f>
        <v>434440.43238524895</v>
      </c>
      <c r="I1091" s="733">
        <f>+J1044*G1091+E1091</f>
        <v>434440.43238524895</v>
      </c>
      <c r="J1091" s="729">
        <f t="shared" si="98"/>
        <v>0</v>
      </c>
      <c r="K1091" s="729"/>
      <c r="L1091" s="734"/>
      <c r="M1091" s="729">
        <f t="shared" si="99"/>
        <v>0</v>
      </c>
      <c r="N1091" s="734"/>
      <c r="O1091" s="729">
        <f t="shared" si="100"/>
        <v>0</v>
      </c>
      <c r="P1091" s="729">
        <f t="shared" si="101"/>
        <v>0</v>
      </c>
      <c r="Q1091" s="677"/>
    </row>
    <row r="1092" spans="2:17">
      <c r="B1092" s="334"/>
      <c r="C1092" s="725">
        <f>IF(D1042="","-",+C1091+1)</f>
        <v>2061</v>
      </c>
      <c r="D1092" s="676">
        <f t="shared" si="102"/>
        <v>2499967.186440682</v>
      </c>
      <c r="E1092" s="732">
        <f t="shared" si="103"/>
        <v>156247.94915254237</v>
      </c>
      <c r="F1092" s="732">
        <f t="shared" si="96"/>
        <v>2343719.2372881398</v>
      </c>
      <c r="G1092" s="676">
        <f t="shared" si="97"/>
        <v>2421843.2118644109</v>
      </c>
      <c r="H1092" s="726">
        <f>+J1043*G1092+E1092</f>
        <v>417580.28188629705</v>
      </c>
      <c r="I1092" s="733">
        <f>+J1044*G1092+E1092</f>
        <v>417580.28188629705</v>
      </c>
      <c r="J1092" s="729">
        <f t="shared" si="98"/>
        <v>0</v>
      </c>
      <c r="K1092" s="729"/>
      <c r="L1092" s="734"/>
      <c r="M1092" s="729">
        <f t="shared" si="99"/>
        <v>0</v>
      </c>
      <c r="N1092" s="734"/>
      <c r="O1092" s="729">
        <f t="shared" si="100"/>
        <v>0</v>
      </c>
      <c r="P1092" s="729">
        <f t="shared" si="101"/>
        <v>0</v>
      </c>
      <c r="Q1092" s="677"/>
    </row>
    <row r="1093" spans="2:17">
      <c r="B1093" s="334"/>
      <c r="C1093" s="725">
        <f>IF(D1042="","-",+C1092+1)</f>
        <v>2062</v>
      </c>
      <c r="D1093" s="676">
        <f t="shared" si="102"/>
        <v>2343719.2372881398</v>
      </c>
      <c r="E1093" s="732">
        <f t="shared" si="103"/>
        <v>156247.94915254237</v>
      </c>
      <c r="F1093" s="732">
        <f t="shared" si="96"/>
        <v>2187471.2881355975</v>
      </c>
      <c r="G1093" s="676">
        <f t="shared" si="97"/>
        <v>2265595.2627118686</v>
      </c>
      <c r="H1093" s="726">
        <f>+J1043*G1093+E1093</f>
        <v>400720.13138734514</v>
      </c>
      <c r="I1093" s="733">
        <f>+J1044*G1093+E1093</f>
        <v>400720.13138734514</v>
      </c>
      <c r="J1093" s="729">
        <f t="shared" si="98"/>
        <v>0</v>
      </c>
      <c r="K1093" s="729"/>
      <c r="L1093" s="734"/>
      <c r="M1093" s="729">
        <f t="shared" si="99"/>
        <v>0</v>
      </c>
      <c r="N1093" s="734"/>
      <c r="O1093" s="729">
        <f t="shared" si="100"/>
        <v>0</v>
      </c>
      <c r="P1093" s="729">
        <f t="shared" si="101"/>
        <v>0</v>
      </c>
      <c r="Q1093" s="677"/>
    </row>
    <row r="1094" spans="2:17">
      <c r="B1094" s="334"/>
      <c r="C1094" s="725">
        <f>IF(D1042="","-",+C1093+1)</f>
        <v>2063</v>
      </c>
      <c r="D1094" s="676">
        <f t="shared" si="102"/>
        <v>2187471.2881355975</v>
      </c>
      <c r="E1094" s="732">
        <f t="shared" si="103"/>
        <v>156247.94915254237</v>
      </c>
      <c r="F1094" s="732">
        <f t="shared" si="96"/>
        <v>2031223.3389830552</v>
      </c>
      <c r="G1094" s="676">
        <f t="shared" si="97"/>
        <v>2109347.3135593263</v>
      </c>
      <c r="H1094" s="726">
        <f>+J1043*G1094+E1094</f>
        <v>383859.9808883933</v>
      </c>
      <c r="I1094" s="733">
        <f>+J1044*G1094+E1094</f>
        <v>383859.9808883933</v>
      </c>
      <c r="J1094" s="729">
        <f t="shared" si="98"/>
        <v>0</v>
      </c>
      <c r="K1094" s="729"/>
      <c r="L1094" s="734"/>
      <c r="M1094" s="729">
        <f t="shared" si="99"/>
        <v>0</v>
      </c>
      <c r="N1094" s="734"/>
      <c r="O1094" s="729">
        <f t="shared" si="100"/>
        <v>0</v>
      </c>
      <c r="P1094" s="729">
        <f t="shared" si="101"/>
        <v>0</v>
      </c>
      <c r="Q1094" s="677"/>
    </row>
    <row r="1095" spans="2:17">
      <c r="B1095" s="334"/>
      <c r="C1095" s="725">
        <f>IF(D1042="","-",+C1094+1)</f>
        <v>2064</v>
      </c>
      <c r="D1095" s="676">
        <f t="shared" si="102"/>
        <v>2031223.3389830552</v>
      </c>
      <c r="E1095" s="732">
        <f t="shared" si="103"/>
        <v>156247.94915254237</v>
      </c>
      <c r="F1095" s="732">
        <f t="shared" si="96"/>
        <v>1874975.3898305129</v>
      </c>
      <c r="G1095" s="676">
        <f t="shared" si="97"/>
        <v>1953099.3644067841</v>
      </c>
      <c r="H1095" s="726">
        <f>+J1043*G1095+E1095</f>
        <v>366999.83038944146</v>
      </c>
      <c r="I1095" s="733">
        <f>+J1044*G1095+E1095</f>
        <v>366999.83038944146</v>
      </c>
      <c r="J1095" s="729">
        <f t="shared" si="98"/>
        <v>0</v>
      </c>
      <c r="K1095" s="729"/>
      <c r="L1095" s="734"/>
      <c r="M1095" s="729">
        <f t="shared" si="99"/>
        <v>0</v>
      </c>
      <c r="N1095" s="734"/>
      <c r="O1095" s="729">
        <f t="shared" si="100"/>
        <v>0</v>
      </c>
      <c r="P1095" s="729">
        <f t="shared" si="101"/>
        <v>0</v>
      </c>
      <c r="Q1095" s="677"/>
    </row>
    <row r="1096" spans="2:17">
      <c r="B1096" s="334"/>
      <c r="C1096" s="725">
        <f>IF(D1042="","-",+C1095+1)</f>
        <v>2065</v>
      </c>
      <c r="D1096" s="676">
        <f t="shared" si="102"/>
        <v>1874975.3898305129</v>
      </c>
      <c r="E1096" s="732">
        <f t="shared" si="103"/>
        <v>156247.94915254237</v>
      </c>
      <c r="F1096" s="732">
        <f t="shared" si="96"/>
        <v>1718727.4406779706</v>
      </c>
      <c r="G1096" s="676">
        <f t="shared" si="97"/>
        <v>1796851.4152542418</v>
      </c>
      <c r="H1096" s="726">
        <f>+J1043*G1096+E1096</f>
        <v>350139.67989048955</v>
      </c>
      <c r="I1096" s="733">
        <f>+J1044*G1096+E1096</f>
        <v>350139.67989048955</v>
      </c>
      <c r="J1096" s="729">
        <f t="shared" si="98"/>
        <v>0</v>
      </c>
      <c r="K1096" s="729"/>
      <c r="L1096" s="734"/>
      <c r="M1096" s="729">
        <f t="shared" si="99"/>
        <v>0</v>
      </c>
      <c r="N1096" s="734"/>
      <c r="O1096" s="729">
        <f t="shared" si="100"/>
        <v>0</v>
      </c>
      <c r="P1096" s="729">
        <f t="shared" si="101"/>
        <v>0</v>
      </c>
      <c r="Q1096" s="677"/>
    </row>
    <row r="1097" spans="2:17">
      <c r="B1097" s="334"/>
      <c r="C1097" s="725">
        <f>IF(D1042="","-",+C1096+1)</f>
        <v>2066</v>
      </c>
      <c r="D1097" s="676">
        <f t="shared" si="102"/>
        <v>1718727.4406779706</v>
      </c>
      <c r="E1097" s="732">
        <f t="shared" si="103"/>
        <v>156247.94915254237</v>
      </c>
      <c r="F1097" s="732">
        <f t="shared" si="96"/>
        <v>1562479.4915254284</v>
      </c>
      <c r="G1097" s="676">
        <f t="shared" si="97"/>
        <v>1640603.4661016995</v>
      </c>
      <c r="H1097" s="726">
        <f>+J1043*G1097+E1097</f>
        <v>333279.52939153765</v>
      </c>
      <c r="I1097" s="733">
        <f>+J1044*G1097+E1097</f>
        <v>333279.52939153765</v>
      </c>
      <c r="J1097" s="729">
        <f t="shared" si="98"/>
        <v>0</v>
      </c>
      <c r="K1097" s="729"/>
      <c r="L1097" s="734"/>
      <c r="M1097" s="729">
        <f t="shared" si="99"/>
        <v>0</v>
      </c>
      <c r="N1097" s="734"/>
      <c r="O1097" s="729">
        <f t="shared" si="100"/>
        <v>0</v>
      </c>
      <c r="P1097" s="729">
        <f t="shared" si="101"/>
        <v>0</v>
      </c>
      <c r="Q1097" s="677"/>
    </row>
    <row r="1098" spans="2:17">
      <c r="B1098" s="334"/>
      <c r="C1098" s="725">
        <f>IF(D1042="","-",+C1097+1)</f>
        <v>2067</v>
      </c>
      <c r="D1098" s="676">
        <f t="shared" si="102"/>
        <v>1562479.4915254284</v>
      </c>
      <c r="E1098" s="732">
        <f t="shared" si="103"/>
        <v>156247.94915254237</v>
      </c>
      <c r="F1098" s="732">
        <f t="shared" si="96"/>
        <v>1406231.5423728861</v>
      </c>
      <c r="G1098" s="676">
        <f t="shared" si="97"/>
        <v>1484355.5169491572</v>
      </c>
      <c r="H1098" s="726">
        <f>+J1043*G1098+E1098</f>
        <v>316419.37889258581</v>
      </c>
      <c r="I1098" s="733">
        <f>+J1044*G1098+E1098</f>
        <v>316419.37889258581</v>
      </c>
      <c r="J1098" s="729">
        <f t="shared" si="98"/>
        <v>0</v>
      </c>
      <c r="K1098" s="729"/>
      <c r="L1098" s="734"/>
      <c r="M1098" s="729">
        <f t="shared" si="99"/>
        <v>0</v>
      </c>
      <c r="N1098" s="734"/>
      <c r="O1098" s="729">
        <f t="shared" si="100"/>
        <v>0</v>
      </c>
      <c r="P1098" s="729">
        <f t="shared" si="101"/>
        <v>0</v>
      </c>
      <c r="Q1098" s="677"/>
    </row>
    <row r="1099" spans="2:17">
      <c r="B1099" s="334"/>
      <c r="C1099" s="725">
        <f>IF(D1042="","-",+C1098+1)</f>
        <v>2068</v>
      </c>
      <c r="D1099" s="676">
        <f t="shared" si="102"/>
        <v>1406231.5423728861</v>
      </c>
      <c r="E1099" s="732">
        <f t="shared" si="103"/>
        <v>156247.94915254237</v>
      </c>
      <c r="F1099" s="732">
        <f t="shared" si="96"/>
        <v>1249983.5932203438</v>
      </c>
      <c r="G1099" s="676">
        <f t="shared" si="97"/>
        <v>1328107.567796615</v>
      </c>
      <c r="H1099" s="726">
        <f>+J1043*G1099+E1099</f>
        <v>299559.22839363391</v>
      </c>
      <c r="I1099" s="733">
        <f>+J1044*G1099+E1099</f>
        <v>299559.22839363391</v>
      </c>
      <c r="J1099" s="729">
        <f t="shared" si="98"/>
        <v>0</v>
      </c>
      <c r="K1099" s="729"/>
      <c r="L1099" s="734"/>
      <c r="M1099" s="729">
        <f t="shared" si="99"/>
        <v>0</v>
      </c>
      <c r="N1099" s="734"/>
      <c r="O1099" s="729">
        <f t="shared" si="100"/>
        <v>0</v>
      </c>
      <c r="P1099" s="729">
        <f t="shared" si="101"/>
        <v>0</v>
      </c>
      <c r="Q1099" s="677"/>
    </row>
    <row r="1100" spans="2:17">
      <c r="B1100" s="334"/>
      <c r="C1100" s="725">
        <f>IF(D1042="","-",+C1099+1)</f>
        <v>2069</v>
      </c>
      <c r="D1100" s="676">
        <f t="shared" si="102"/>
        <v>1249983.5932203438</v>
      </c>
      <c r="E1100" s="732">
        <f t="shared" si="103"/>
        <v>156247.94915254237</v>
      </c>
      <c r="F1100" s="732">
        <f t="shared" si="96"/>
        <v>1093735.6440678015</v>
      </c>
      <c r="G1100" s="676">
        <f t="shared" si="97"/>
        <v>1171859.6186440727</v>
      </c>
      <c r="H1100" s="726">
        <f>+J1043*G1100+E1100</f>
        <v>282699.07789468206</v>
      </c>
      <c r="I1100" s="733">
        <f>+J1044*G1100+E1100</f>
        <v>282699.07789468206</v>
      </c>
      <c r="J1100" s="729">
        <f t="shared" si="98"/>
        <v>0</v>
      </c>
      <c r="K1100" s="729"/>
      <c r="L1100" s="734"/>
      <c r="M1100" s="729">
        <f t="shared" si="99"/>
        <v>0</v>
      </c>
      <c r="N1100" s="734"/>
      <c r="O1100" s="729">
        <f t="shared" si="100"/>
        <v>0</v>
      </c>
      <c r="P1100" s="729">
        <f t="shared" si="101"/>
        <v>0</v>
      </c>
      <c r="Q1100" s="677"/>
    </row>
    <row r="1101" spans="2:17">
      <c r="B1101" s="334"/>
      <c r="C1101" s="725">
        <f>IF(D1042="","-",+C1100+1)</f>
        <v>2070</v>
      </c>
      <c r="D1101" s="676">
        <f t="shared" si="102"/>
        <v>1093735.6440678015</v>
      </c>
      <c r="E1101" s="732">
        <f t="shared" si="103"/>
        <v>156247.94915254237</v>
      </c>
      <c r="F1101" s="732">
        <f t="shared" si="96"/>
        <v>937487.69491525914</v>
      </c>
      <c r="G1101" s="676">
        <f t="shared" si="97"/>
        <v>1015611.6694915304</v>
      </c>
      <c r="H1101" s="726">
        <f>+J1043*G1101+E1101</f>
        <v>265838.92739573016</v>
      </c>
      <c r="I1101" s="733">
        <f>+J1044*G1101+E1101</f>
        <v>265838.92739573016</v>
      </c>
      <c r="J1101" s="729">
        <f t="shared" si="98"/>
        <v>0</v>
      </c>
      <c r="K1101" s="729"/>
      <c r="L1101" s="734"/>
      <c r="M1101" s="729">
        <f t="shared" si="99"/>
        <v>0</v>
      </c>
      <c r="N1101" s="734"/>
      <c r="O1101" s="729">
        <f t="shared" si="100"/>
        <v>0</v>
      </c>
      <c r="P1101" s="729">
        <f t="shared" si="101"/>
        <v>0</v>
      </c>
      <c r="Q1101" s="677"/>
    </row>
    <row r="1102" spans="2:17">
      <c r="B1102" s="334"/>
      <c r="C1102" s="725">
        <f>IF(D1042="","-",+C1101+1)</f>
        <v>2071</v>
      </c>
      <c r="D1102" s="676">
        <f t="shared" si="102"/>
        <v>937487.69491525914</v>
      </c>
      <c r="E1102" s="732">
        <f t="shared" si="103"/>
        <v>156247.94915254237</v>
      </c>
      <c r="F1102" s="732">
        <f t="shared" si="96"/>
        <v>781239.74576271675</v>
      </c>
      <c r="G1102" s="676">
        <f t="shared" si="97"/>
        <v>859363.72033898789</v>
      </c>
      <c r="H1102" s="726">
        <f>+J1043*G1102+E1102</f>
        <v>248978.77689677826</v>
      </c>
      <c r="I1102" s="733">
        <f>+J1044*G1102+E1102</f>
        <v>248978.77689677826</v>
      </c>
      <c r="J1102" s="729">
        <f t="shared" si="98"/>
        <v>0</v>
      </c>
      <c r="K1102" s="729"/>
      <c r="L1102" s="734"/>
      <c r="M1102" s="729">
        <f t="shared" si="99"/>
        <v>0</v>
      </c>
      <c r="N1102" s="734"/>
      <c r="O1102" s="729">
        <f t="shared" si="100"/>
        <v>0</v>
      </c>
      <c r="P1102" s="729">
        <f t="shared" si="101"/>
        <v>0</v>
      </c>
      <c r="Q1102" s="677"/>
    </row>
    <row r="1103" spans="2:17">
      <c r="B1103" s="334"/>
      <c r="C1103" s="725">
        <f>IF(D1042="","-",+C1102+1)</f>
        <v>2072</v>
      </c>
      <c r="D1103" s="676">
        <f t="shared" si="102"/>
        <v>781239.74576271675</v>
      </c>
      <c r="E1103" s="732">
        <f t="shared" si="103"/>
        <v>156247.94915254237</v>
      </c>
      <c r="F1103" s="732">
        <f t="shared" si="96"/>
        <v>624991.79661017435</v>
      </c>
      <c r="G1103" s="676">
        <f t="shared" si="97"/>
        <v>703115.77118644561</v>
      </c>
      <c r="H1103" s="726">
        <f>+J1043*G1103+E1103</f>
        <v>232118.62639782639</v>
      </c>
      <c r="I1103" s="733">
        <f>+J1044*G1103+E1103</f>
        <v>232118.62639782639</v>
      </c>
      <c r="J1103" s="729">
        <f t="shared" si="98"/>
        <v>0</v>
      </c>
      <c r="K1103" s="729"/>
      <c r="L1103" s="734"/>
      <c r="M1103" s="729">
        <f t="shared" si="99"/>
        <v>0</v>
      </c>
      <c r="N1103" s="734"/>
      <c r="O1103" s="729">
        <f t="shared" si="100"/>
        <v>0</v>
      </c>
      <c r="P1103" s="729">
        <f t="shared" si="101"/>
        <v>0</v>
      </c>
      <c r="Q1103" s="677"/>
    </row>
    <row r="1104" spans="2:17">
      <c r="B1104" s="334"/>
      <c r="C1104" s="725">
        <f>IF(D1042="","-",+C1103+1)</f>
        <v>2073</v>
      </c>
      <c r="D1104" s="676">
        <f t="shared" si="102"/>
        <v>624991.79661017435</v>
      </c>
      <c r="E1104" s="732">
        <f t="shared" si="103"/>
        <v>156247.94915254237</v>
      </c>
      <c r="F1104" s="732">
        <f t="shared" si="96"/>
        <v>468743.84745763196</v>
      </c>
      <c r="G1104" s="676">
        <f t="shared" si="97"/>
        <v>546867.8220339031</v>
      </c>
      <c r="H1104" s="726">
        <f>+J1043*G1104+E1104</f>
        <v>215258.47589887449</v>
      </c>
      <c r="I1104" s="733">
        <f>+J1044*G1104+E1104</f>
        <v>215258.47589887449</v>
      </c>
      <c r="J1104" s="729">
        <f t="shared" si="98"/>
        <v>0</v>
      </c>
      <c r="K1104" s="729"/>
      <c r="L1104" s="734"/>
      <c r="M1104" s="729">
        <f t="shared" si="99"/>
        <v>0</v>
      </c>
      <c r="N1104" s="734"/>
      <c r="O1104" s="729">
        <f t="shared" si="100"/>
        <v>0</v>
      </c>
      <c r="P1104" s="729">
        <f t="shared" si="101"/>
        <v>0</v>
      </c>
      <c r="Q1104" s="677"/>
    </row>
    <row r="1105" spans="1:17">
      <c r="B1105" s="334"/>
      <c r="C1105" s="725">
        <f>IF(D1042="","-",+C1104+1)</f>
        <v>2074</v>
      </c>
      <c r="D1105" s="676">
        <f t="shared" si="102"/>
        <v>468743.84745763196</v>
      </c>
      <c r="E1105" s="732">
        <f t="shared" si="103"/>
        <v>156247.94915254237</v>
      </c>
      <c r="F1105" s="732">
        <f t="shared" si="96"/>
        <v>312495.89830508956</v>
      </c>
      <c r="G1105" s="676">
        <f t="shared" si="97"/>
        <v>390619.87288136076</v>
      </c>
      <c r="H1105" s="726">
        <f>+J1043*G1105+E1105</f>
        <v>198398.32539992261</v>
      </c>
      <c r="I1105" s="733">
        <f>+J1044*G1105+E1105</f>
        <v>198398.32539992261</v>
      </c>
      <c r="J1105" s="729">
        <f t="shared" si="98"/>
        <v>0</v>
      </c>
      <c r="K1105" s="729"/>
      <c r="L1105" s="734"/>
      <c r="M1105" s="729">
        <f t="shared" si="99"/>
        <v>0</v>
      </c>
      <c r="N1105" s="734"/>
      <c r="O1105" s="729">
        <f t="shared" si="100"/>
        <v>0</v>
      </c>
      <c r="P1105" s="729">
        <f t="shared" si="101"/>
        <v>0</v>
      </c>
      <c r="Q1105" s="677"/>
    </row>
    <row r="1106" spans="1:17">
      <c r="B1106" s="334"/>
      <c r="C1106" s="725">
        <f>IF(D1042="","-",+C1105+1)</f>
        <v>2075</v>
      </c>
      <c r="D1106" s="676">
        <f t="shared" si="102"/>
        <v>312495.89830508956</v>
      </c>
      <c r="E1106" s="732">
        <f t="shared" si="103"/>
        <v>156247.94915254237</v>
      </c>
      <c r="F1106" s="732">
        <f t="shared" si="96"/>
        <v>156247.9491525472</v>
      </c>
      <c r="G1106" s="676">
        <f t="shared" si="97"/>
        <v>234371.92372881836</v>
      </c>
      <c r="H1106" s="726">
        <f>+J1043*G1106+E1106</f>
        <v>181538.17490097071</v>
      </c>
      <c r="I1106" s="733">
        <f>+J1044*G1106+E1106</f>
        <v>181538.17490097071</v>
      </c>
      <c r="J1106" s="729">
        <f t="shared" si="98"/>
        <v>0</v>
      </c>
      <c r="K1106" s="729"/>
      <c r="L1106" s="734"/>
      <c r="M1106" s="729">
        <f t="shared" si="99"/>
        <v>0</v>
      </c>
      <c r="N1106" s="734"/>
      <c r="O1106" s="729">
        <f t="shared" si="100"/>
        <v>0</v>
      </c>
      <c r="P1106" s="729">
        <f t="shared" si="101"/>
        <v>0</v>
      </c>
      <c r="Q1106" s="677"/>
    </row>
    <row r="1107" spans="1:17" ht="13.5" thickBot="1">
      <c r="B1107" s="334"/>
      <c r="C1107" s="737">
        <f>IF(D1042="","-",+C1106+1)</f>
        <v>2076</v>
      </c>
      <c r="D1107" s="738">
        <f t="shared" si="102"/>
        <v>156247.9491525472</v>
      </c>
      <c r="E1107" s="739">
        <f t="shared" si="103"/>
        <v>156247.94915254237</v>
      </c>
      <c r="F1107" s="739">
        <f t="shared" si="96"/>
        <v>4.8312358558177948E-9</v>
      </c>
      <c r="G1107" s="738">
        <f t="shared" si="97"/>
        <v>78123.974576276014</v>
      </c>
      <c r="H1107" s="740">
        <f>+J1043*G1107+E1107</f>
        <v>164678.02440201884</v>
      </c>
      <c r="I1107" s="740">
        <f>+J1044*G1107+E1107</f>
        <v>164678.02440201884</v>
      </c>
      <c r="J1107" s="741">
        <f t="shared" si="98"/>
        <v>0</v>
      </c>
      <c r="K1107" s="729"/>
      <c r="L1107" s="742"/>
      <c r="M1107" s="741">
        <f t="shared" si="99"/>
        <v>0</v>
      </c>
      <c r="N1107" s="742"/>
      <c r="O1107" s="741">
        <f t="shared" si="100"/>
        <v>0</v>
      </c>
      <c r="P1107" s="741">
        <f t="shared" si="101"/>
        <v>0</v>
      </c>
      <c r="Q1107" s="677"/>
    </row>
    <row r="1108" spans="1:17">
      <c r="B1108" s="334"/>
      <c r="C1108" s="676" t="s">
        <v>289</v>
      </c>
      <c r="D1108" s="672"/>
      <c r="E1108" s="672">
        <f>SUM(E1048:E1107)</f>
        <v>9218628.9999999963</v>
      </c>
      <c r="F1108" s="672"/>
      <c r="G1108" s="672"/>
      <c r="H1108" s="672">
        <f>SUM(H1048:H1107)</f>
        <v>39558469.822863936</v>
      </c>
      <c r="I1108" s="672">
        <f>SUM(I1048:I1107)</f>
        <v>39558469.822863936</v>
      </c>
      <c r="J1108" s="672">
        <f>SUM(J1048:J1107)</f>
        <v>0</v>
      </c>
      <c r="K1108" s="672"/>
      <c r="L1108" s="672"/>
      <c r="M1108" s="672"/>
      <c r="N1108" s="672"/>
      <c r="O1108" s="672"/>
      <c r="Q1108" s="672"/>
    </row>
    <row r="1109" spans="1:17">
      <c r="B1109" s="334"/>
      <c r="D1109" s="566"/>
      <c r="E1109" s="543"/>
      <c r="F1109" s="543"/>
      <c r="G1109" s="543"/>
      <c r="H1109" s="543"/>
      <c r="I1109" s="649"/>
      <c r="J1109" s="649"/>
      <c r="K1109" s="672"/>
      <c r="L1109" s="649"/>
      <c r="M1109" s="649"/>
      <c r="N1109" s="649"/>
      <c r="O1109" s="649"/>
      <c r="Q1109" s="672"/>
    </row>
    <row r="1110" spans="1:17">
      <c r="B1110" s="334"/>
      <c r="C1110" s="543" t="s">
        <v>602</v>
      </c>
      <c r="D1110" s="566"/>
      <c r="E1110" s="543"/>
      <c r="F1110" s="543"/>
      <c r="G1110" s="543"/>
      <c r="H1110" s="543"/>
      <c r="I1110" s="649"/>
      <c r="J1110" s="649"/>
      <c r="K1110" s="672"/>
      <c r="L1110" s="649"/>
      <c r="M1110" s="649"/>
      <c r="N1110" s="649"/>
      <c r="O1110" s="649"/>
      <c r="Q1110" s="672"/>
    </row>
    <row r="1111" spans="1:17">
      <c r="B1111" s="334"/>
      <c r="D1111" s="566"/>
      <c r="E1111" s="543"/>
      <c r="F1111" s="543"/>
      <c r="G1111" s="543"/>
      <c r="H1111" s="543"/>
      <c r="I1111" s="649"/>
      <c r="J1111" s="649"/>
      <c r="K1111" s="672"/>
      <c r="L1111" s="649"/>
      <c r="M1111" s="649"/>
      <c r="N1111" s="649"/>
      <c r="O1111" s="649"/>
      <c r="Q1111" s="672"/>
    </row>
    <row r="1112" spans="1:17">
      <c r="B1112" s="334"/>
      <c r="C1112" s="579" t="s">
        <v>603</v>
      </c>
      <c r="D1112" s="676"/>
      <c r="E1112" s="676"/>
      <c r="F1112" s="676"/>
      <c r="G1112" s="676"/>
      <c r="H1112" s="672"/>
      <c r="I1112" s="672"/>
      <c r="J1112" s="677"/>
      <c r="K1112" s="677"/>
      <c r="L1112" s="677"/>
      <c r="M1112" s="677"/>
      <c r="N1112" s="677"/>
      <c r="O1112" s="677"/>
      <c r="Q1112" s="677"/>
    </row>
    <row r="1113" spans="1:17">
      <c r="B1113" s="334"/>
      <c r="C1113" s="579" t="s">
        <v>477</v>
      </c>
      <c r="D1113" s="676"/>
      <c r="E1113" s="676"/>
      <c r="F1113" s="676"/>
      <c r="G1113" s="676"/>
      <c r="H1113" s="672"/>
      <c r="I1113" s="672"/>
      <c r="J1113" s="677"/>
      <c r="K1113" s="677"/>
      <c r="L1113" s="677"/>
      <c r="M1113" s="677"/>
      <c r="N1113" s="677"/>
      <c r="O1113" s="677"/>
      <c r="Q1113" s="677"/>
    </row>
    <row r="1114" spans="1:17">
      <c r="B1114" s="334"/>
      <c r="C1114" s="579" t="s">
        <v>290</v>
      </c>
      <c r="D1114" s="676"/>
      <c r="E1114" s="676"/>
      <c r="F1114" s="676"/>
      <c r="G1114" s="676"/>
      <c r="H1114" s="672"/>
      <c r="I1114" s="672"/>
      <c r="J1114" s="677"/>
      <c r="K1114" s="677"/>
      <c r="L1114" s="677"/>
      <c r="M1114" s="677"/>
      <c r="N1114" s="677"/>
      <c r="O1114" s="677"/>
      <c r="Q1114" s="677"/>
    </row>
    <row r="1115" spans="1:17" ht="20.25">
      <c r="A1115" s="678" t="s">
        <v>780</v>
      </c>
      <c r="B1115" s="543"/>
      <c r="C1115" s="658"/>
      <c r="D1115" s="566"/>
      <c r="E1115" s="543"/>
      <c r="F1115" s="648"/>
      <c r="G1115" s="648"/>
      <c r="H1115" s="543"/>
      <c r="I1115" s="649"/>
      <c r="L1115" s="679"/>
      <c r="M1115" s="679"/>
      <c r="N1115" s="679"/>
      <c r="O1115" s="594" t="str">
        <f>"Page "&amp;SUM(Q$3:Q1115)&amp;" of "</f>
        <v xml:space="preserve">Page 14 of </v>
      </c>
      <c r="P1115" s="595">
        <f>COUNT(Q$8:Q$58123)</f>
        <v>15</v>
      </c>
      <c r="Q1115" s="763">
        <v>1</v>
      </c>
    </row>
    <row r="1116" spans="1:17">
      <c r="B1116" s="543"/>
      <c r="C1116" s="543"/>
      <c r="D1116" s="566"/>
      <c r="E1116" s="543"/>
      <c r="F1116" s="543"/>
      <c r="G1116" s="543"/>
      <c r="H1116" s="543"/>
      <c r="I1116" s="649"/>
      <c r="J1116" s="543"/>
      <c r="K1116" s="591"/>
      <c r="Q1116" s="591"/>
    </row>
    <row r="1117" spans="1:17" ht="18">
      <c r="B1117" s="598" t="s">
        <v>175</v>
      </c>
      <c r="C1117" s="680" t="s">
        <v>291</v>
      </c>
      <c r="D1117" s="566"/>
      <c r="E1117" s="543"/>
      <c r="F1117" s="543"/>
      <c r="G1117" s="543"/>
      <c r="H1117" s="543"/>
      <c r="I1117" s="649"/>
      <c r="J1117" s="649"/>
      <c r="K1117" s="672"/>
      <c r="L1117" s="649"/>
      <c r="M1117" s="649"/>
      <c r="N1117" s="649"/>
      <c r="O1117" s="649"/>
      <c r="Q1117" s="672"/>
    </row>
    <row r="1118" spans="1:17" ht="18.75">
      <c r="B1118" s="598"/>
      <c r="C1118" s="597"/>
      <c r="D1118" s="566"/>
      <c r="E1118" s="543"/>
      <c r="F1118" s="543"/>
      <c r="G1118" s="543"/>
      <c r="H1118" s="543"/>
      <c r="I1118" s="649"/>
      <c r="J1118" s="649"/>
      <c r="K1118" s="672"/>
      <c r="L1118" s="649"/>
      <c r="M1118" s="649"/>
      <c r="N1118" s="649"/>
      <c r="O1118" s="649"/>
      <c r="Q1118" s="672"/>
    </row>
    <row r="1119" spans="1:17" ht="18.75">
      <c r="B1119" s="598"/>
      <c r="C1119" s="597" t="s">
        <v>292</v>
      </c>
      <c r="D1119" s="566"/>
      <c r="E1119" s="543"/>
      <c r="F1119" s="543"/>
      <c r="G1119" s="543"/>
      <c r="H1119" s="543"/>
      <c r="I1119" s="649"/>
      <c r="J1119" s="649"/>
      <c r="K1119" s="672"/>
      <c r="L1119" s="649"/>
      <c r="M1119" s="649"/>
      <c r="N1119" s="649"/>
      <c r="O1119" s="649"/>
      <c r="Q1119" s="672"/>
    </row>
    <row r="1120" spans="1:17" ht="15.75" thickBot="1">
      <c r="B1120" s="334"/>
      <c r="C1120" s="400"/>
      <c r="D1120" s="566"/>
      <c r="E1120" s="543"/>
      <c r="F1120" s="543"/>
      <c r="G1120" s="543"/>
      <c r="H1120" s="543"/>
      <c r="I1120" s="649"/>
      <c r="J1120" s="649"/>
      <c r="K1120" s="672"/>
      <c r="L1120" s="649"/>
      <c r="M1120" s="649"/>
      <c r="N1120" s="649"/>
      <c r="O1120" s="649"/>
      <c r="Q1120" s="672"/>
    </row>
    <row r="1121" spans="1:17" ht="15.75">
      <c r="B1121" s="334"/>
      <c r="C1121" s="599" t="s">
        <v>293</v>
      </c>
      <c r="D1121" s="566"/>
      <c r="E1121" s="543"/>
      <c r="F1121" s="543"/>
      <c r="G1121" s="543"/>
      <c r="H1121" s="874"/>
      <c r="I1121" s="543" t="s">
        <v>272</v>
      </c>
      <c r="J1121" s="543"/>
      <c r="K1121" s="591"/>
      <c r="L1121" s="764">
        <f>+J1127</f>
        <v>2018</v>
      </c>
      <c r="M1121" s="746" t="s">
        <v>255</v>
      </c>
      <c r="N1121" s="746" t="s">
        <v>256</v>
      </c>
      <c r="O1121" s="747" t="s">
        <v>257</v>
      </c>
      <c r="Q1121" s="591"/>
    </row>
    <row r="1122" spans="1:17" ht="15.75">
      <c r="B1122" s="334"/>
      <c r="C1122" s="599"/>
      <c r="D1122" s="566"/>
      <c r="E1122" s="543"/>
      <c r="F1122" s="543"/>
      <c r="H1122" s="543"/>
      <c r="I1122" s="684"/>
      <c r="J1122" s="684"/>
      <c r="K1122" s="685"/>
      <c r="L1122" s="765" t="s">
        <v>456</v>
      </c>
      <c r="M1122" s="766">
        <f>VLOOKUP(J1127,C1134:P1193,10)</f>
        <v>8045448</v>
      </c>
      <c r="N1122" s="766">
        <f>VLOOKUP(J1127,C1134:P1193,12)</f>
        <v>8045448</v>
      </c>
      <c r="O1122" s="767">
        <f>+N1122-M1122</f>
        <v>0</v>
      </c>
      <c r="Q1122" s="685"/>
    </row>
    <row r="1123" spans="1:17">
      <c r="B1123" s="334"/>
      <c r="C1123" s="687" t="s">
        <v>294</v>
      </c>
      <c r="D1123" s="1434" t="s">
        <v>1007</v>
      </c>
      <c r="E1123" s="1434"/>
      <c r="F1123" s="1434"/>
      <c r="G1123" s="1434"/>
      <c r="H1123" s="1434"/>
      <c r="I1123" s="649"/>
      <c r="J1123" s="649"/>
      <c r="K1123" s="672"/>
      <c r="L1123" s="765" t="s">
        <v>457</v>
      </c>
      <c r="M1123" s="768">
        <f>VLOOKUP(J1127,C1134:P1193,6)</f>
        <v>3343164.2113506244</v>
      </c>
      <c r="N1123" s="768">
        <f>VLOOKUP(J1127,C1134:P1193,7)</f>
        <v>3343164.2113506244</v>
      </c>
      <c r="O1123" s="769">
        <f>+N1123-M1123</f>
        <v>0</v>
      </c>
      <c r="Q1123" s="672"/>
    </row>
    <row r="1124" spans="1:17" ht="13.5" thickBot="1">
      <c r="B1124" s="334"/>
      <c r="C1124" s="689"/>
      <c r="D1124" s="690"/>
      <c r="E1124" s="674"/>
      <c r="F1124" s="674"/>
      <c r="G1124" s="674"/>
      <c r="H1124" s="691"/>
      <c r="I1124" s="649"/>
      <c r="J1124" s="649"/>
      <c r="K1124" s="672"/>
      <c r="L1124" s="710" t="s">
        <v>458</v>
      </c>
      <c r="M1124" s="770">
        <f>+M1123-M1122</f>
        <v>-4702283.7886493756</v>
      </c>
      <c r="N1124" s="770">
        <f>+N1123-N1122</f>
        <v>-4702283.7886493756</v>
      </c>
      <c r="O1124" s="771">
        <f>+O1123-O1122</f>
        <v>0</v>
      </c>
      <c r="Q1124" s="672"/>
    </row>
    <row r="1125" spans="1:17" ht="13.5" thickBot="1">
      <c r="B1125" s="334"/>
      <c r="C1125" s="692"/>
      <c r="D1125" s="693"/>
      <c r="E1125" s="691"/>
      <c r="F1125" s="691"/>
      <c r="G1125" s="691"/>
      <c r="H1125" s="691"/>
      <c r="I1125" s="691"/>
      <c r="J1125" s="691"/>
      <c r="K1125" s="694"/>
      <c r="L1125" s="691"/>
      <c r="M1125" s="691"/>
      <c r="N1125" s="691"/>
      <c r="O1125" s="691"/>
      <c r="P1125" s="579"/>
      <c r="Q1125" s="694"/>
    </row>
    <row r="1126" spans="1:17" ht="13.5" thickBot="1">
      <c r="B1126" s="334"/>
      <c r="C1126" s="696" t="s">
        <v>295</v>
      </c>
      <c r="D1126" s="697"/>
      <c r="E1126" s="697"/>
      <c r="F1126" s="697"/>
      <c r="G1126" s="697"/>
      <c r="H1126" s="697"/>
      <c r="I1126" s="697"/>
      <c r="J1126" s="697"/>
      <c r="K1126" s="699"/>
      <c r="P1126" s="700"/>
      <c r="Q1126" s="699"/>
    </row>
    <row r="1127" spans="1:17" ht="15">
      <c r="A1127" s="695"/>
      <c r="B1127" s="334"/>
      <c r="C1127" s="702" t="s">
        <v>273</v>
      </c>
      <c r="D1127" s="1268">
        <v>30233312</v>
      </c>
      <c r="E1127" s="658" t="s">
        <v>274</v>
      </c>
      <c r="H1127" s="703"/>
      <c r="I1127" s="703"/>
      <c r="J1127" s="704">
        <v>2018</v>
      </c>
      <c r="K1127" s="589"/>
      <c r="L1127" s="1445" t="s">
        <v>275</v>
      </c>
      <c r="M1127" s="1445"/>
      <c r="N1127" s="1445"/>
      <c r="O1127" s="1445"/>
      <c r="P1127" s="591"/>
      <c r="Q1127" s="589"/>
    </row>
    <row r="1128" spans="1:17">
      <c r="A1128" s="695"/>
      <c r="B1128" s="334"/>
      <c r="C1128" s="702" t="s">
        <v>276</v>
      </c>
      <c r="D1128" s="876">
        <v>2018</v>
      </c>
      <c r="E1128" s="702" t="s">
        <v>277</v>
      </c>
      <c r="F1128" s="703"/>
      <c r="G1128" s="703"/>
      <c r="I1128" s="334"/>
      <c r="J1128" s="879">
        <v>0</v>
      </c>
      <c r="K1128" s="705"/>
      <c r="L1128" s="672" t="s">
        <v>476</v>
      </c>
      <c r="P1128" s="591"/>
      <c r="Q1128" s="705"/>
    </row>
    <row r="1129" spans="1:17">
      <c r="A1129" s="695"/>
      <c r="B1129" s="334"/>
      <c r="C1129" s="702" t="s">
        <v>278</v>
      </c>
      <c r="D1129" s="1269">
        <v>10</v>
      </c>
      <c r="E1129" s="702" t="s">
        <v>279</v>
      </c>
      <c r="F1129" s="703"/>
      <c r="G1129" s="703"/>
      <c r="I1129" s="334"/>
      <c r="J1129" s="706">
        <f>$F$70</f>
        <v>0.10790637951024619</v>
      </c>
      <c r="K1129" s="707"/>
      <c r="L1129" s="543" t="str">
        <f>"          INPUT TRUE-UP ARR (WITH &amp; WITHOUT INCENTIVES) FROM EACH PRIOR YEAR"</f>
        <v xml:space="preserve">          INPUT TRUE-UP ARR (WITH &amp; WITHOUT INCENTIVES) FROM EACH PRIOR YEAR</v>
      </c>
      <c r="P1129" s="591"/>
      <c r="Q1129" s="707"/>
    </row>
    <row r="1130" spans="1:17">
      <c r="A1130" s="695"/>
      <c r="B1130" s="334"/>
      <c r="C1130" s="702" t="s">
        <v>280</v>
      </c>
      <c r="D1130" s="708">
        <f>H79</f>
        <v>59</v>
      </c>
      <c r="E1130" s="702" t="s">
        <v>281</v>
      </c>
      <c r="F1130" s="703"/>
      <c r="G1130" s="703"/>
      <c r="I1130" s="334"/>
      <c r="J1130" s="706">
        <f>IF(H1121="",J1129,$F$69)</f>
        <v>0.10790637951024619</v>
      </c>
      <c r="K1130" s="709"/>
      <c r="L1130" s="543" t="s">
        <v>363</v>
      </c>
      <c r="M1130" s="709"/>
      <c r="N1130" s="709"/>
      <c r="O1130" s="709"/>
      <c r="P1130" s="591"/>
      <c r="Q1130" s="709"/>
    </row>
    <row r="1131" spans="1:17" ht="13.5" thickBot="1">
      <c r="A1131" s="695"/>
      <c r="B1131" s="334"/>
      <c r="C1131" s="702" t="s">
        <v>282</v>
      </c>
      <c r="D1131" s="878" t="s">
        <v>995</v>
      </c>
      <c r="E1131" s="710" t="s">
        <v>283</v>
      </c>
      <c r="F1131" s="711"/>
      <c r="G1131" s="711"/>
      <c r="H1131" s="712"/>
      <c r="I1131" s="712"/>
      <c r="J1131" s="688">
        <f>IF(D1127=0,0,D1127/D1130)</f>
        <v>512429.01694915252</v>
      </c>
      <c r="K1131" s="672"/>
      <c r="L1131" s="672" t="s">
        <v>364</v>
      </c>
      <c r="M1131" s="672"/>
      <c r="N1131" s="672"/>
      <c r="O1131" s="672"/>
      <c r="P1131" s="591"/>
      <c r="Q1131" s="672"/>
    </row>
    <row r="1132" spans="1:17" ht="38.25">
      <c r="A1132" s="530"/>
      <c r="B1132" s="530"/>
      <c r="C1132" s="713" t="s">
        <v>273</v>
      </c>
      <c r="D1132" s="714" t="s">
        <v>284</v>
      </c>
      <c r="E1132" s="715" t="s">
        <v>285</v>
      </c>
      <c r="F1132" s="714" t="s">
        <v>286</v>
      </c>
      <c r="G1132" s="714" t="s">
        <v>459</v>
      </c>
      <c r="H1132" s="715" t="s">
        <v>357</v>
      </c>
      <c r="I1132" s="716" t="s">
        <v>357</v>
      </c>
      <c r="J1132" s="713" t="s">
        <v>296</v>
      </c>
      <c r="K1132" s="717"/>
      <c r="L1132" s="715" t="s">
        <v>359</v>
      </c>
      <c r="M1132" s="715" t="s">
        <v>365</v>
      </c>
      <c r="N1132" s="715" t="s">
        <v>359</v>
      </c>
      <c r="O1132" s="715" t="s">
        <v>367</v>
      </c>
      <c r="P1132" s="715" t="s">
        <v>287</v>
      </c>
      <c r="Q1132" s="718"/>
    </row>
    <row r="1133" spans="1:17" ht="13.5" thickBot="1">
      <c r="B1133" s="334"/>
      <c r="C1133" s="719" t="s">
        <v>178</v>
      </c>
      <c r="D1133" s="720" t="s">
        <v>179</v>
      </c>
      <c r="E1133" s="719" t="s">
        <v>37</v>
      </c>
      <c r="F1133" s="720" t="s">
        <v>179</v>
      </c>
      <c r="G1133" s="720" t="s">
        <v>179</v>
      </c>
      <c r="H1133" s="721" t="s">
        <v>299</v>
      </c>
      <c r="I1133" s="722" t="s">
        <v>301</v>
      </c>
      <c r="J1133" s="723" t="s">
        <v>390</v>
      </c>
      <c r="K1133" s="724"/>
      <c r="L1133" s="721" t="s">
        <v>288</v>
      </c>
      <c r="M1133" s="721" t="s">
        <v>288</v>
      </c>
      <c r="N1133" s="721" t="s">
        <v>468</v>
      </c>
      <c r="O1133" s="721" t="s">
        <v>468</v>
      </c>
      <c r="P1133" s="721" t="s">
        <v>468</v>
      </c>
      <c r="Q1133" s="589"/>
    </row>
    <row r="1134" spans="1:17">
      <c r="B1134" s="334"/>
      <c r="C1134" s="725">
        <f>IF(D1128= "","-",D1128)</f>
        <v>2018</v>
      </c>
      <c r="D1134" s="1311">
        <f>+D1127</f>
        <v>30233312</v>
      </c>
      <c r="E1134" s="726">
        <f>+J1131/12*(12-D1129)</f>
        <v>85404.836158192091</v>
      </c>
      <c r="F1134" s="772">
        <f t="shared" ref="F1134:F1193" si="104">+D1134-E1134</f>
        <v>30147907.163841806</v>
      </c>
      <c r="G1134" s="676">
        <f t="shared" ref="G1134:G1193" si="105">+(D1134+F1134)/2</f>
        <v>30190609.581920903</v>
      </c>
      <c r="H1134" s="727">
        <f>+J1129*G1134+E1134</f>
        <v>3343164.2113506244</v>
      </c>
      <c r="I1134" s="728">
        <f>+J1130*G1134+E1134</f>
        <v>3343164.2113506244</v>
      </c>
      <c r="J1134" s="729">
        <f t="shared" ref="J1134:J1193" si="106">+I1134-H1134</f>
        <v>0</v>
      </c>
      <c r="K1134" s="729"/>
      <c r="L1134" s="730">
        <v>8045448</v>
      </c>
      <c r="M1134" s="773">
        <f t="shared" ref="M1134:M1193" si="107">IF(L1134&lt;&gt;0,+H1134-L1134,0)</f>
        <v>-4702283.7886493756</v>
      </c>
      <c r="N1134" s="730">
        <v>8045448</v>
      </c>
      <c r="O1134" s="773">
        <f t="shared" ref="O1134:O1193" si="108">IF(N1134&lt;&gt;0,+I1134-N1134,0)</f>
        <v>-4702283.7886493756</v>
      </c>
      <c r="P1134" s="773">
        <f t="shared" ref="P1134:P1193" si="109">+O1134-M1134</f>
        <v>0</v>
      </c>
      <c r="Q1134" s="677"/>
    </row>
    <row r="1135" spans="1:17">
      <c r="B1135" s="334"/>
      <c r="C1135" s="725">
        <f>IF(D1128="","-",+C1134+1)</f>
        <v>2019</v>
      </c>
      <c r="D1135" s="1282">
        <f t="shared" ref="D1135:D1193" si="110">F1134</f>
        <v>30147907.163841806</v>
      </c>
      <c r="E1135" s="732">
        <f>IF(D1135&gt;$J$1131,$J$1131,D1135)</f>
        <v>512429.01694915252</v>
      </c>
      <c r="F1135" s="732">
        <f t="shared" si="104"/>
        <v>29635478.146892656</v>
      </c>
      <c r="G1135" s="676">
        <f t="shared" si="105"/>
        <v>29891692.655367233</v>
      </c>
      <c r="H1135" s="726">
        <f>+J1129*G1135+E1135</f>
        <v>3737933.3488228479</v>
      </c>
      <c r="I1135" s="733">
        <f>+J1130*G1135+E1135</f>
        <v>3737933.3488228479</v>
      </c>
      <c r="J1135" s="729">
        <f t="shared" si="106"/>
        <v>0</v>
      </c>
      <c r="K1135" s="729"/>
      <c r="L1135" s="734">
        <v>0</v>
      </c>
      <c r="M1135" s="729">
        <f t="shared" si="107"/>
        <v>0</v>
      </c>
      <c r="N1135" s="734">
        <v>0</v>
      </c>
      <c r="O1135" s="729">
        <f t="shared" si="108"/>
        <v>0</v>
      </c>
      <c r="P1135" s="729">
        <f t="shared" si="109"/>
        <v>0</v>
      </c>
      <c r="Q1135" s="677"/>
    </row>
    <row r="1136" spans="1:17">
      <c r="B1136" s="334"/>
      <c r="C1136" s="725">
        <f>IF(D1128="","-",+C1135+1)</f>
        <v>2020</v>
      </c>
      <c r="D1136" s="1282">
        <f t="shared" si="110"/>
        <v>29635478.146892656</v>
      </c>
      <c r="E1136" s="732">
        <f t="shared" ref="E1136:E1193" si="111">IF(D1136&gt;$J$1131,$J$1131,D1136)</f>
        <v>512429.01694915252</v>
      </c>
      <c r="F1136" s="732">
        <f t="shared" si="104"/>
        <v>29123049.129943505</v>
      </c>
      <c r="G1136" s="676">
        <f t="shared" si="105"/>
        <v>29379263.638418078</v>
      </c>
      <c r="H1136" s="726">
        <f>+J1129*G1136+E1136</f>
        <v>3682638.9888478699</v>
      </c>
      <c r="I1136" s="733">
        <f>+J1130*G1136+E1136</f>
        <v>3682638.9888478699</v>
      </c>
      <c r="J1136" s="729">
        <f t="shared" si="106"/>
        <v>0</v>
      </c>
      <c r="K1136" s="729"/>
      <c r="L1136" s="734">
        <v>0</v>
      </c>
      <c r="M1136" s="729">
        <f t="shared" si="107"/>
        <v>0</v>
      </c>
      <c r="N1136" s="734">
        <v>0</v>
      </c>
      <c r="O1136" s="729">
        <f t="shared" si="108"/>
        <v>0</v>
      </c>
      <c r="P1136" s="729">
        <f t="shared" si="109"/>
        <v>0</v>
      </c>
      <c r="Q1136" s="677"/>
    </row>
    <row r="1137" spans="2:17">
      <c r="B1137" s="334"/>
      <c r="C1137" s="725">
        <f>IF(D1128="","-",+C1136+1)</f>
        <v>2021</v>
      </c>
      <c r="D1137" s="1282">
        <f t="shared" si="110"/>
        <v>29123049.129943505</v>
      </c>
      <c r="E1137" s="732">
        <f t="shared" si="111"/>
        <v>512429.01694915252</v>
      </c>
      <c r="F1137" s="732">
        <f t="shared" si="104"/>
        <v>28610620.112994354</v>
      </c>
      <c r="G1137" s="676">
        <f t="shared" si="105"/>
        <v>28866834.621468931</v>
      </c>
      <c r="H1137" s="726">
        <f>+J1129*G1137+E1137</f>
        <v>3627344.6288728928</v>
      </c>
      <c r="I1137" s="733">
        <f>+J1130*G1137+E1137</f>
        <v>3627344.6288728928</v>
      </c>
      <c r="J1137" s="729">
        <f t="shared" si="106"/>
        <v>0</v>
      </c>
      <c r="K1137" s="729"/>
      <c r="L1137" s="734">
        <v>0</v>
      </c>
      <c r="M1137" s="729">
        <f t="shared" si="107"/>
        <v>0</v>
      </c>
      <c r="N1137" s="734">
        <v>0</v>
      </c>
      <c r="O1137" s="729">
        <f t="shared" si="108"/>
        <v>0</v>
      </c>
      <c r="P1137" s="729">
        <f t="shared" si="109"/>
        <v>0</v>
      </c>
      <c r="Q1137" s="677"/>
    </row>
    <row r="1138" spans="2:17">
      <c r="B1138" s="334"/>
      <c r="C1138" s="725">
        <f>IF(D1128="","-",+C1137+1)</f>
        <v>2022</v>
      </c>
      <c r="D1138" s="1282">
        <f t="shared" si="110"/>
        <v>28610620.112994354</v>
      </c>
      <c r="E1138" s="732">
        <f t="shared" si="111"/>
        <v>512429.01694915252</v>
      </c>
      <c r="F1138" s="732">
        <f t="shared" si="104"/>
        <v>28098191.096045204</v>
      </c>
      <c r="G1138" s="676">
        <f t="shared" si="105"/>
        <v>28354405.604519777</v>
      </c>
      <c r="H1138" s="726">
        <f>+J1129*G1138+E1138</f>
        <v>3572050.2688979153</v>
      </c>
      <c r="I1138" s="733">
        <f>+J1130*G1138+E1138</f>
        <v>3572050.2688979153</v>
      </c>
      <c r="J1138" s="729">
        <f t="shared" si="106"/>
        <v>0</v>
      </c>
      <c r="K1138" s="729"/>
      <c r="L1138" s="734">
        <v>0</v>
      </c>
      <c r="M1138" s="729">
        <f t="shared" si="107"/>
        <v>0</v>
      </c>
      <c r="N1138" s="734">
        <v>0</v>
      </c>
      <c r="O1138" s="729">
        <f t="shared" si="108"/>
        <v>0</v>
      </c>
      <c r="P1138" s="729">
        <f t="shared" si="109"/>
        <v>0</v>
      </c>
      <c r="Q1138" s="677"/>
    </row>
    <row r="1139" spans="2:17">
      <c r="B1139" s="334"/>
      <c r="C1139" s="725">
        <f>IF(D1128="","-",+C1138+1)</f>
        <v>2023</v>
      </c>
      <c r="D1139" s="676">
        <f t="shared" si="110"/>
        <v>28098191.096045204</v>
      </c>
      <c r="E1139" s="732">
        <f t="shared" si="111"/>
        <v>512429.01694915252</v>
      </c>
      <c r="F1139" s="732">
        <f t="shared" si="104"/>
        <v>27585762.079096053</v>
      </c>
      <c r="G1139" s="676">
        <f t="shared" si="105"/>
        <v>27841976.58757063</v>
      </c>
      <c r="H1139" s="726">
        <f>+J1129*G1139+E1139</f>
        <v>3516755.9089229382</v>
      </c>
      <c r="I1139" s="733">
        <f>+J1130*G1139+E1139</f>
        <v>3516755.9089229382</v>
      </c>
      <c r="J1139" s="729">
        <f t="shared" si="106"/>
        <v>0</v>
      </c>
      <c r="K1139" s="729"/>
      <c r="L1139" s="734">
        <v>0</v>
      </c>
      <c r="M1139" s="729">
        <f t="shared" si="107"/>
        <v>0</v>
      </c>
      <c r="N1139" s="734">
        <v>0</v>
      </c>
      <c r="O1139" s="729">
        <f t="shared" si="108"/>
        <v>0</v>
      </c>
      <c r="P1139" s="729">
        <f t="shared" si="109"/>
        <v>0</v>
      </c>
      <c r="Q1139" s="677"/>
    </row>
    <row r="1140" spans="2:17">
      <c r="B1140" s="334"/>
      <c r="C1140" s="725">
        <f>IF(D1128="","-",+C1139+1)</f>
        <v>2024</v>
      </c>
      <c r="D1140" s="676">
        <f t="shared" si="110"/>
        <v>27585762.079096053</v>
      </c>
      <c r="E1140" s="732">
        <f t="shared" si="111"/>
        <v>512429.01694915252</v>
      </c>
      <c r="F1140" s="732">
        <f t="shared" si="104"/>
        <v>27073333.062146902</v>
      </c>
      <c r="G1140" s="676">
        <f t="shared" si="105"/>
        <v>27329547.570621476</v>
      </c>
      <c r="H1140" s="726">
        <f>+J1129*G1140+E1140</f>
        <v>3461461.5489479601</v>
      </c>
      <c r="I1140" s="733">
        <f>+J1130*G1140+E1140</f>
        <v>3461461.5489479601</v>
      </c>
      <c r="J1140" s="729">
        <f t="shared" si="106"/>
        <v>0</v>
      </c>
      <c r="K1140" s="729"/>
      <c r="L1140" s="734">
        <v>0</v>
      </c>
      <c r="M1140" s="729">
        <f t="shared" si="107"/>
        <v>0</v>
      </c>
      <c r="N1140" s="734">
        <v>0</v>
      </c>
      <c r="O1140" s="729">
        <f t="shared" si="108"/>
        <v>0</v>
      </c>
      <c r="P1140" s="729">
        <f t="shared" si="109"/>
        <v>0</v>
      </c>
      <c r="Q1140" s="677"/>
    </row>
    <row r="1141" spans="2:17">
      <c r="B1141" s="334"/>
      <c r="C1141" s="725">
        <f>IF(D1128="","-",+C1140+1)</f>
        <v>2025</v>
      </c>
      <c r="D1141" s="676">
        <f t="shared" si="110"/>
        <v>27073333.062146902</v>
      </c>
      <c r="E1141" s="732">
        <f t="shared" si="111"/>
        <v>512429.01694915252</v>
      </c>
      <c r="F1141" s="732">
        <f t="shared" si="104"/>
        <v>26560904.045197751</v>
      </c>
      <c r="G1141" s="676">
        <f t="shared" si="105"/>
        <v>26817118.553672329</v>
      </c>
      <c r="H1141" s="726">
        <f>+J1129*G1141+E1141</f>
        <v>3406167.188972983</v>
      </c>
      <c r="I1141" s="733">
        <f>+J1130*G1141+E1141</f>
        <v>3406167.188972983</v>
      </c>
      <c r="J1141" s="729">
        <f t="shared" si="106"/>
        <v>0</v>
      </c>
      <c r="K1141" s="729"/>
      <c r="L1141" s="734">
        <v>0</v>
      </c>
      <c r="M1141" s="729">
        <f t="shared" si="107"/>
        <v>0</v>
      </c>
      <c r="N1141" s="734">
        <v>0</v>
      </c>
      <c r="O1141" s="729">
        <f t="shared" si="108"/>
        <v>0</v>
      </c>
      <c r="P1141" s="729">
        <f t="shared" si="109"/>
        <v>0</v>
      </c>
      <c r="Q1141" s="677"/>
    </row>
    <row r="1142" spans="2:17">
      <c r="B1142" s="334"/>
      <c r="C1142" s="725">
        <f>IF(D1128="","-",+C1141+1)</f>
        <v>2026</v>
      </c>
      <c r="D1142" s="676">
        <f t="shared" si="110"/>
        <v>26560904.045197751</v>
      </c>
      <c r="E1142" s="732">
        <f t="shared" si="111"/>
        <v>512429.01694915252</v>
      </c>
      <c r="F1142" s="732">
        <f t="shared" si="104"/>
        <v>26048475.028248601</v>
      </c>
      <c r="G1142" s="676">
        <f t="shared" si="105"/>
        <v>26304689.536723174</v>
      </c>
      <c r="H1142" s="726">
        <f>+J1129*G1142+E1142</f>
        <v>3350872.8289980055</v>
      </c>
      <c r="I1142" s="733">
        <f>+J1130*G1142+E1142</f>
        <v>3350872.8289980055</v>
      </c>
      <c r="J1142" s="729">
        <f t="shared" si="106"/>
        <v>0</v>
      </c>
      <c r="K1142" s="729"/>
      <c r="L1142" s="734">
        <v>0</v>
      </c>
      <c r="M1142" s="729">
        <f t="shared" si="107"/>
        <v>0</v>
      </c>
      <c r="N1142" s="734">
        <v>0</v>
      </c>
      <c r="O1142" s="729">
        <f t="shared" si="108"/>
        <v>0</v>
      </c>
      <c r="P1142" s="729">
        <f t="shared" si="109"/>
        <v>0</v>
      </c>
      <c r="Q1142" s="677"/>
    </row>
    <row r="1143" spans="2:17">
      <c r="B1143" s="334"/>
      <c r="C1143" s="725">
        <f>IF(D1128="","-",+C1142+1)</f>
        <v>2027</v>
      </c>
      <c r="D1143" s="676">
        <f t="shared" si="110"/>
        <v>26048475.028248601</v>
      </c>
      <c r="E1143" s="732">
        <f t="shared" si="111"/>
        <v>512429.01694915252</v>
      </c>
      <c r="F1143" s="732">
        <f t="shared" si="104"/>
        <v>25536046.01129945</v>
      </c>
      <c r="G1143" s="676">
        <f t="shared" si="105"/>
        <v>25792260.519774027</v>
      </c>
      <c r="H1143" s="726">
        <f>+J1129*G1143+E1143</f>
        <v>3295578.4690230284</v>
      </c>
      <c r="I1143" s="733">
        <f>+J1130*G1143+E1143</f>
        <v>3295578.4690230284</v>
      </c>
      <c r="J1143" s="729">
        <f t="shared" si="106"/>
        <v>0</v>
      </c>
      <c r="K1143" s="729"/>
      <c r="L1143" s="734">
        <v>0</v>
      </c>
      <c r="M1143" s="729">
        <f t="shared" si="107"/>
        <v>0</v>
      </c>
      <c r="N1143" s="734">
        <v>0</v>
      </c>
      <c r="O1143" s="729">
        <f t="shared" si="108"/>
        <v>0</v>
      </c>
      <c r="P1143" s="729">
        <f t="shared" si="109"/>
        <v>0</v>
      </c>
      <c r="Q1143" s="677"/>
    </row>
    <row r="1144" spans="2:17">
      <c r="B1144" s="334"/>
      <c r="C1144" s="725">
        <f>IF(D1128="","-",+C1143+1)</f>
        <v>2028</v>
      </c>
      <c r="D1144" s="676">
        <f t="shared" si="110"/>
        <v>25536046.01129945</v>
      </c>
      <c r="E1144" s="732">
        <f t="shared" si="111"/>
        <v>512429.01694915252</v>
      </c>
      <c r="F1144" s="732">
        <f t="shared" si="104"/>
        <v>25023616.994350299</v>
      </c>
      <c r="G1144" s="676">
        <f t="shared" si="105"/>
        <v>25279831.502824873</v>
      </c>
      <c r="H1144" s="726">
        <f>+J1129*G1144+E1144</f>
        <v>3240284.1090480504</v>
      </c>
      <c r="I1144" s="733">
        <f>+J1130*G1144+E1144</f>
        <v>3240284.1090480504</v>
      </c>
      <c r="J1144" s="729">
        <f t="shared" si="106"/>
        <v>0</v>
      </c>
      <c r="K1144" s="729"/>
      <c r="L1144" s="734">
        <v>0</v>
      </c>
      <c r="M1144" s="729">
        <f t="shared" si="107"/>
        <v>0</v>
      </c>
      <c r="N1144" s="734">
        <v>0</v>
      </c>
      <c r="O1144" s="729">
        <f t="shared" si="108"/>
        <v>0</v>
      </c>
      <c r="P1144" s="729">
        <f t="shared" si="109"/>
        <v>0</v>
      </c>
      <c r="Q1144" s="677"/>
    </row>
    <row r="1145" spans="2:17">
      <c r="B1145" s="334"/>
      <c r="C1145" s="725">
        <f>IF(D1128="","-",+C1144+1)</f>
        <v>2029</v>
      </c>
      <c r="D1145" s="676">
        <f t="shared" si="110"/>
        <v>25023616.994350299</v>
      </c>
      <c r="E1145" s="732">
        <f t="shared" si="111"/>
        <v>512429.01694915252</v>
      </c>
      <c r="F1145" s="732">
        <f t="shared" si="104"/>
        <v>24511187.977401149</v>
      </c>
      <c r="G1145" s="676">
        <f t="shared" si="105"/>
        <v>24767402.485875726</v>
      </c>
      <c r="H1145" s="726">
        <f>+J1129*G1145+E1145</f>
        <v>3184989.7490730737</v>
      </c>
      <c r="I1145" s="733">
        <f>+J1130*G1145+E1145</f>
        <v>3184989.7490730737</v>
      </c>
      <c r="J1145" s="729">
        <f t="shared" si="106"/>
        <v>0</v>
      </c>
      <c r="K1145" s="729"/>
      <c r="L1145" s="734"/>
      <c r="M1145" s="729">
        <f t="shared" si="107"/>
        <v>0</v>
      </c>
      <c r="N1145" s="734"/>
      <c r="O1145" s="729">
        <f t="shared" si="108"/>
        <v>0</v>
      </c>
      <c r="P1145" s="729">
        <f t="shared" si="109"/>
        <v>0</v>
      </c>
      <c r="Q1145" s="677"/>
    </row>
    <row r="1146" spans="2:17">
      <c r="B1146" s="334"/>
      <c r="C1146" s="725">
        <f>IF(D1128="","-",+C1145+1)</f>
        <v>2030</v>
      </c>
      <c r="D1146" s="676">
        <f t="shared" si="110"/>
        <v>24511187.977401149</v>
      </c>
      <c r="E1146" s="732">
        <f t="shared" si="111"/>
        <v>512429.01694915252</v>
      </c>
      <c r="F1146" s="732">
        <f t="shared" si="104"/>
        <v>23998758.960451998</v>
      </c>
      <c r="G1146" s="676">
        <f t="shared" si="105"/>
        <v>24254973.468926571</v>
      </c>
      <c r="H1146" s="726">
        <f>+J1129*G1146+E1146</f>
        <v>3129695.3890980957</v>
      </c>
      <c r="I1146" s="733">
        <f>+J1130*G1146+E1146</f>
        <v>3129695.3890980957</v>
      </c>
      <c r="J1146" s="729">
        <f t="shared" si="106"/>
        <v>0</v>
      </c>
      <c r="K1146" s="729"/>
      <c r="L1146" s="734"/>
      <c r="M1146" s="729">
        <f t="shared" si="107"/>
        <v>0</v>
      </c>
      <c r="N1146" s="734"/>
      <c r="O1146" s="729">
        <f t="shared" si="108"/>
        <v>0</v>
      </c>
      <c r="P1146" s="729">
        <f t="shared" si="109"/>
        <v>0</v>
      </c>
      <c r="Q1146" s="677"/>
    </row>
    <row r="1147" spans="2:17">
      <c r="B1147" s="334"/>
      <c r="C1147" s="725">
        <f>IF(D1128="","-",+C1146+1)</f>
        <v>2031</v>
      </c>
      <c r="D1147" s="676">
        <f t="shared" si="110"/>
        <v>23998758.960451998</v>
      </c>
      <c r="E1147" s="732">
        <f t="shared" si="111"/>
        <v>512429.01694915252</v>
      </c>
      <c r="F1147" s="732">
        <f t="shared" si="104"/>
        <v>23486329.943502847</v>
      </c>
      <c r="G1147" s="676">
        <f t="shared" si="105"/>
        <v>23742544.451977424</v>
      </c>
      <c r="H1147" s="726">
        <f>+J1129*G1147+E1147</f>
        <v>3074401.0291231186</v>
      </c>
      <c r="I1147" s="733">
        <f>+J1130*G1147+E1147</f>
        <v>3074401.0291231186</v>
      </c>
      <c r="J1147" s="729">
        <f t="shared" si="106"/>
        <v>0</v>
      </c>
      <c r="K1147" s="729"/>
      <c r="L1147" s="734"/>
      <c r="M1147" s="729">
        <f t="shared" si="107"/>
        <v>0</v>
      </c>
      <c r="N1147" s="734"/>
      <c r="O1147" s="729">
        <f t="shared" si="108"/>
        <v>0</v>
      </c>
      <c r="P1147" s="729">
        <f t="shared" si="109"/>
        <v>0</v>
      </c>
      <c r="Q1147" s="677"/>
    </row>
    <row r="1148" spans="2:17">
      <c r="B1148" s="334"/>
      <c r="C1148" s="725">
        <f>IF(D1128="","-",+C1147+1)</f>
        <v>2032</v>
      </c>
      <c r="D1148" s="676">
        <f t="shared" si="110"/>
        <v>23486329.943502847</v>
      </c>
      <c r="E1148" s="732">
        <f t="shared" si="111"/>
        <v>512429.01694915252</v>
      </c>
      <c r="F1148" s="732">
        <f t="shared" si="104"/>
        <v>22973900.926553696</v>
      </c>
      <c r="G1148" s="676">
        <f t="shared" si="105"/>
        <v>23230115.43502827</v>
      </c>
      <c r="H1148" s="726">
        <f>+J1129*G1148+E1148</f>
        <v>3019106.6691481406</v>
      </c>
      <c r="I1148" s="733">
        <f>+J1130*G1148+E1148</f>
        <v>3019106.6691481406</v>
      </c>
      <c r="J1148" s="729">
        <f t="shared" si="106"/>
        <v>0</v>
      </c>
      <c r="K1148" s="729"/>
      <c r="L1148" s="734"/>
      <c r="M1148" s="729">
        <f t="shared" si="107"/>
        <v>0</v>
      </c>
      <c r="N1148" s="734"/>
      <c r="O1148" s="729">
        <f t="shared" si="108"/>
        <v>0</v>
      </c>
      <c r="P1148" s="729">
        <f t="shared" si="109"/>
        <v>0</v>
      </c>
      <c r="Q1148" s="677"/>
    </row>
    <row r="1149" spans="2:17">
      <c r="B1149" s="334"/>
      <c r="C1149" s="725">
        <f>IF(D1128="","-",+C1148+1)</f>
        <v>2033</v>
      </c>
      <c r="D1149" s="676">
        <f t="shared" si="110"/>
        <v>22973900.926553696</v>
      </c>
      <c r="E1149" s="732">
        <f t="shared" si="111"/>
        <v>512429.01694915252</v>
      </c>
      <c r="F1149" s="732">
        <f t="shared" si="104"/>
        <v>22461471.909604546</v>
      </c>
      <c r="G1149" s="676">
        <f t="shared" si="105"/>
        <v>22717686.418079123</v>
      </c>
      <c r="H1149" s="726">
        <f>+J1129*G1149+E1149</f>
        <v>2963812.309173164</v>
      </c>
      <c r="I1149" s="733">
        <f>+J1130*G1149+E1149</f>
        <v>2963812.309173164</v>
      </c>
      <c r="J1149" s="729">
        <f t="shared" si="106"/>
        <v>0</v>
      </c>
      <c r="K1149" s="729"/>
      <c r="L1149" s="734"/>
      <c r="M1149" s="729">
        <f t="shared" si="107"/>
        <v>0</v>
      </c>
      <c r="N1149" s="734"/>
      <c r="O1149" s="729">
        <f t="shared" si="108"/>
        <v>0</v>
      </c>
      <c r="P1149" s="729">
        <f t="shared" si="109"/>
        <v>0</v>
      </c>
      <c r="Q1149" s="677"/>
    </row>
    <row r="1150" spans="2:17">
      <c r="B1150" s="334"/>
      <c r="C1150" s="725">
        <f>IF(D1128="","-",+C1149+1)</f>
        <v>2034</v>
      </c>
      <c r="D1150" s="676">
        <f t="shared" si="110"/>
        <v>22461471.909604546</v>
      </c>
      <c r="E1150" s="732">
        <f t="shared" si="111"/>
        <v>512429.01694915252</v>
      </c>
      <c r="F1150" s="732">
        <f t="shared" si="104"/>
        <v>21949042.892655395</v>
      </c>
      <c r="G1150" s="676">
        <f t="shared" si="105"/>
        <v>22205257.401129968</v>
      </c>
      <c r="H1150" s="726">
        <f>+J1129*G1150+E1150</f>
        <v>2908517.9491981859</v>
      </c>
      <c r="I1150" s="733">
        <f>+J1130*G1150+E1150</f>
        <v>2908517.9491981859</v>
      </c>
      <c r="J1150" s="729">
        <f t="shared" si="106"/>
        <v>0</v>
      </c>
      <c r="K1150" s="729"/>
      <c r="L1150" s="734"/>
      <c r="M1150" s="729">
        <f t="shared" si="107"/>
        <v>0</v>
      </c>
      <c r="N1150" s="734"/>
      <c r="O1150" s="729">
        <f t="shared" si="108"/>
        <v>0</v>
      </c>
      <c r="P1150" s="729">
        <f t="shared" si="109"/>
        <v>0</v>
      </c>
      <c r="Q1150" s="677"/>
    </row>
    <row r="1151" spans="2:17">
      <c r="B1151" s="334"/>
      <c r="C1151" s="725">
        <f>IF(D1128="","-",+C1150+1)</f>
        <v>2035</v>
      </c>
      <c r="D1151" s="676">
        <f t="shared" si="110"/>
        <v>21949042.892655395</v>
      </c>
      <c r="E1151" s="732">
        <f t="shared" si="111"/>
        <v>512429.01694915252</v>
      </c>
      <c r="F1151" s="732">
        <f t="shared" si="104"/>
        <v>21436613.875706244</v>
      </c>
      <c r="G1151" s="676">
        <f t="shared" si="105"/>
        <v>21692828.384180821</v>
      </c>
      <c r="H1151" s="726">
        <f>+J1129*G1151+E1151</f>
        <v>2853223.5892232088</v>
      </c>
      <c r="I1151" s="733">
        <f>+J1130*G1151+E1151</f>
        <v>2853223.5892232088</v>
      </c>
      <c r="J1151" s="729">
        <f t="shared" si="106"/>
        <v>0</v>
      </c>
      <c r="K1151" s="729"/>
      <c r="L1151" s="734"/>
      <c r="M1151" s="729">
        <f t="shared" si="107"/>
        <v>0</v>
      </c>
      <c r="N1151" s="734"/>
      <c r="O1151" s="729">
        <f t="shared" si="108"/>
        <v>0</v>
      </c>
      <c r="P1151" s="729">
        <f t="shared" si="109"/>
        <v>0</v>
      </c>
      <c r="Q1151" s="677"/>
    </row>
    <row r="1152" spans="2:17">
      <c r="B1152" s="334"/>
      <c r="C1152" s="725">
        <f>IF(D1128="","-",+C1151+1)</f>
        <v>2036</v>
      </c>
      <c r="D1152" s="676">
        <f t="shared" si="110"/>
        <v>21436613.875706244</v>
      </c>
      <c r="E1152" s="732">
        <f t="shared" si="111"/>
        <v>512429.01694915252</v>
      </c>
      <c r="F1152" s="732">
        <f t="shared" si="104"/>
        <v>20924184.858757094</v>
      </c>
      <c r="G1152" s="676">
        <f t="shared" si="105"/>
        <v>21180399.367231667</v>
      </c>
      <c r="H1152" s="726">
        <f>+J1129*G1152+E1152</f>
        <v>2797929.2292482313</v>
      </c>
      <c r="I1152" s="733">
        <f>+J1130*G1152+E1152</f>
        <v>2797929.2292482313</v>
      </c>
      <c r="J1152" s="729">
        <f t="shared" si="106"/>
        <v>0</v>
      </c>
      <c r="K1152" s="729"/>
      <c r="L1152" s="734"/>
      <c r="M1152" s="729">
        <f t="shared" si="107"/>
        <v>0</v>
      </c>
      <c r="N1152" s="734"/>
      <c r="O1152" s="729">
        <f t="shared" si="108"/>
        <v>0</v>
      </c>
      <c r="P1152" s="729">
        <f t="shared" si="109"/>
        <v>0</v>
      </c>
      <c r="Q1152" s="677"/>
    </row>
    <row r="1153" spans="2:17">
      <c r="B1153" s="334"/>
      <c r="C1153" s="725">
        <f>IF(D1128="","-",+C1152+1)</f>
        <v>2037</v>
      </c>
      <c r="D1153" s="676">
        <f t="shared" si="110"/>
        <v>20924184.858757094</v>
      </c>
      <c r="E1153" s="732">
        <f t="shared" si="111"/>
        <v>512429.01694915252</v>
      </c>
      <c r="F1153" s="732">
        <f t="shared" si="104"/>
        <v>20411755.841807943</v>
      </c>
      <c r="G1153" s="676">
        <f t="shared" si="105"/>
        <v>20667970.35028252</v>
      </c>
      <c r="H1153" s="726">
        <f>+J1129*G1153+E1153</f>
        <v>2742634.8692732542</v>
      </c>
      <c r="I1153" s="733">
        <f>+J1130*G1153+E1153</f>
        <v>2742634.8692732542</v>
      </c>
      <c r="J1153" s="729">
        <f t="shared" si="106"/>
        <v>0</v>
      </c>
      <c r="K1153" s="729"/>
      <c r="L1153" s="734"/>
      <c r="M1153" s="729">
        <f t="shared" si="107"/>
        <v>0</v>
      </c>
      <c r="N1153" s="734"/>
      <c r="O1153" s="729">
        <f t="shared" si="108"/>
        <v>0</v>
      </c>
      <c r="P1153" s="729">
        <f t="shared" si="109"/>
        <v>0</v>
      </c>
      <c r="Q1153" s="677"/>
    </row>
    <row r="1154" spans="2:17">
      <c r="B1154" s="334"/>
      <c r="C1154" s="725">
        <f>IF(D1128="","-",+C1153+1)</f>
        <v>2038</v>
      </c>
      <c r="D1154" s="676">
        <f t="shared" si="110"/>
        <v>20411755.841807943</v>
      </c>
      <c r="E1154" s="732">
        <f t="shared" si="111"/>
        <v>512429.01694915252</v>
      </c>
      <c r="F1154" s="732">
        <f t="shared" si="104"/>
        <v>19899326.824858792</v>
      </c>
      <c r="G1154" s="676">
        <f t="shared" si="105"/>
        <v>20155541.333333366</v>
      </c>
      <c r="H1154" s="726">
        <f>+J1129*G1154+E1154</f>
        <v>2687340.5092982762</v>
      </c>
      <c r="I1154" s="733">
        <f>+J1130*G1154+E1154</f>
        <v>2687340.5092982762</v>
      </c>
      <c r="J1154" s="729">
        <f t="shared" si="106"/>
        <v>0</v>
      </c>
      <c r="K1154" s="729"/>
      <c r="L1154" s="734"/>
      <c r="M1154" s="729">
        <f t="shared" si="107"/>
        <v>0</v>
      </c>
      <c r="N1154" s="734"/>
      <c r="O1154" s="729">
        <f t="shared" si="108"/>
        <v>0</v>
      </c>
      <c r="P1154" s="729">
        <f t="shared" si="109"/>
        <v>0</v>
      </c>
      <c r="Q1154" s="677"/>
    </row>
    <row r="1155" spans="2:17">
      <c r="B1155" s="334"/>
      <c r="C1155" s="725">
        <f>IF(D1128="","-",+C1154+1)</f>
        <v>2039</v>
      </c>
      <c r="D1155" s="676">
        <f t="shared" si="110"/>
        <v>19899326.824858792</v>
      </c>
      <c r="E1155" s="732">
        <f t="shared" si="111"/>
        <v>512429.01694915252</v>
      </c>
      <c r="F1155" s="732">
        <f t="shared" si="104"/>
        <v>19386897.807909641</v>
      </c>
      <c r="G1155" s="676">
        <f t="shared" si="105"/>
        <v>19643112.316384219</v>
      </c>
      <c r="H1155" s="726">
        <f>+J1129*G1155+E1155</f>
        <v>2632046.1493232991</v>
      </c>
      <c r="I1155" s="733">
        <f>+J1130*G1155+E1155</f>
        <v>2632046.1493232991</v>
      </c>
      <c r="J1155" s="729">
        <f t="shared" si="106"/>
        <v>0</v>
      </c>
      <c r="K1155" s="729"/>
      <c r="L1155" s="734"/>
      <c r="M1155" s="729">
        <f t="shared" si="107"/>
        <v>0</v>
      </c>
      <c r="N1155" s="734"/>
      <c r="O1155" s="729">
        <f t="shared" si="108"/>
        <v>0</v>
      </c>
      <c r="P1155" s="729">
        <f t="shared" si="109"/>
        <v>0</v>
      </c>
      <c r="Q1155" s="677"/>
    </row>
    <row r="1156" spans="2:17">
      <c r="B1156" s="334"/>
      <c r="C1156" s="725">
        <f>IF(D1128="","-",+C1155+1)</f>
        <v>2040</v>
      </c>
      <c r="D1156" s="676">
        <f t="shared" si="110"/>
        <v>19386897.807909641</v>
      </c>
      <c r="E1156" s="732">
        <f t="shared" si="111"/>
        <v>512429.01694915252</v>
      </c>
      <c r="F1156" s="732">
        <f t="shared" si="104"/>
        <v>18874468.790960491</v>
      </c>
      <c r="G1156" s="676">
        <f t="shared" si="105"/>
        <v>19130683.299435064</v>
      </c>
      <c r="H1156" s="726">
        <f>+J1129*G1156+E1156</f>
        <v>2576751.789348321</v>
      </c>
      <c r="I1156" s="733">
        <f>+J1130*G1156+E1156</f>
        <v>2576751.789348321</v>
      </c>
      <c r="J1156" s="729">
        <f t="shared" si="106"/>
        <v>0</v>
      </c>
      <c r="K1156" s="729"/>
      <c r="L1156" s="734"/>
      <c r="M1156" s="729">
        <f t="shared" si="107"/>
        <v>0</v>
      </c>
      <c r="N1156" s="734"/>
      <c r="O1156" s="729">
        <f t="shared" si="108"/>
        <v>0</v>
      </c>
      <c r="P1156" s="729">
        <f t="shared" si="109"/>
        <v>0</v>
      </c>
      <c r="Q1156" s="677"/>
    </row>
    <row r="1157" spans="2:17">
      <c r="B1157" s="334"/>
      <c r="C1157" s="725">
        <f>IF(D1128="","-",+C1156+1)</f>
        <v>2041</v>
      </c>
      <c r="D1157" s="676">
        <f t="shared" si="110"/>
        <v>18874468.790960491</v>
      </c>
      <c r="E1157" s="732">
        <f t="shared" si="111"/>
        <v>512429.01694915252</v>
      </c>
      <c r="F1157" s="732">
        <f t="shared" si="104"/>
        <v>18362039.77401134</v>
      </c>
      <c r="G1157" s="676">
        <f t="shared" si="105"/>
        <v>18618254.282485917</v>
      </c>
      <c r="H1157" s="726">
        <f>+J1129*G1157+E1157</f>
        <v>2521457.4293733444</v>
      </c>
      <c r="I1157" s="733">
        <f>+J1130*G1157+E1157</f>
        <v>2521457.4293733444</v>
      </c>
      <c r="J1157" s="729">
        <f t="shared" si="106"/>
        <v>0</v>
      </c>
      <c r="K1157" s="729"/>
      <c r="L1157" s="734"/>
      <c r="M1157" s="729">
        <f t="shared" si="107"/>
        <v>0</v>
      </c>
      <c r="N1157" s="734"/>
      <c r="O1157" s="729">
        <f t="shared" si="108"/>
        <v>0</v>
      </c>
      <c r="P1157" s="729">
        <f t="shared" si="109"/>
        <v>0</v>
      </c>
      <c r="Q1157" s="677"/>
    </row>
    <row r="1158" spans="2:17">
      <c r="B1158" s="334"/>
      <c r="C1158" s="725">
        <f>IF(D1128="","-",+C1157+1)</f>
        <v>2042</v>
      </c>
      <c r="D1158" s="676">
        <f t="shared" si="110"/>
        <v>18362039.77401134</v>
      </c>
      <c r="E1158" s="732">
        <f t="shared" si="111"/>
        <v>512429.01694915252</v>
      </c>
      <c r="F1158" s="732">
        <f t="shared" si="104"/>
        <v>17849610.757062189</v>
      </c>
      <c r="G1158" s="676">
        <f t="shared" si="105"/>
        <v>18105825.265536763</v>
      </c>
      <c r="H1158" s="726">
        <f>+J1129*G1158+E1158</f>
        <v>2466163.0693983664</v>
      </c>
      <c r="I1158" s="733">
        <f>+J1130*G1158+E1158</f>
        <v>2466163.0693983664</v>
      </c>
      <c r="J1158" s="729">
        <f t="shared" si="106"/>
        <v>0</v>
      </c>
      <c r="K1158" s="729"/>
      <c r="L1158" s="734"/>
      <c r="M1158" s="729">
        <f t="shared" si="107"/>
        <v>0</v>
      </c>
      <c r="N1158" s="734"/>
      <c r="O1158" s="729">
        <f t="shared" si="108"/>
        <v>0</v>
      </c>
      <c r="P1158" s="729">
        <f t="shared" si="109"/>
        <v>0</v>
      </c>
      <c r="Q1158" s="677"/>
    </row>
    <row r="1159" spans="2:17">
      <c r="B1159" s="334"/>
      <c r="C1159" s="725">
        <f>IF(D1128="","-",+C1158+1)</f>
        <v>2043</v>
      </c>
      <c r="D1159" s="676">
        <f t="shared" si="110"/>
        <v>17849610.757062189</v>
      </c>
      <c r="E1159" s="732">
        <f t="shared" si="111"/>
        <v>512429.01694915252</v>
      </c>
      <c r="F1159" s="732">
        <f t="shared" si="104"/>
        <v>17337181.740113039</v>
      </c>
      <c r="G1159" s="676">
        <f t="shared" si="105"/>
        <v>17593396.248587616</v>
      </c>
      <c r="H1159" s="726">
        <f>+J1129*G1159+E1159</f>
        <v>2410868.7094233893</v>
      </c>
      <c r="I1159" s="733">
        <f>+J1130*G1159+E1159</f>
        <v>2410868.7094233893</v>
      </c>
      <c r="J1159" s="729">
        <f t="shared" si="106"/>
        <v>0</v>
      </c>
      <c r="K1159" s="729"/>
      <c r="L1159" s="734"/>
      <c r="M1159" s="729">
        <f t="shared" si="107"/>
        <v>0</v>
      </c>
      <c r="N1159" s="734"/>
      <c r="O1159" s="729">
        <f t="shared" si="108"/>
        <v>0</v>
      </c>
      <c r="P1159" s="729">
        <f t="shared" si="109"/>
        <v>0</v>
      </c>
      <c r="Q1159" s="677"/>
    </row>
    <row r="1160" spans="2:17">
      <c r="B1160" s="334"/>
      <c r="C1160" s="725">
        <f>IF(D1128="","-",+C1159+1)</f>
        <v>2044</v>
      </c>
      <c r="D1160" s="676">
        <f t="shared" si="110"/>
        <v>17337181.740113039</v>
      </c>
      <c r="E1160" s="732">
        <f t="shared" si="111"/>
        <v>512429.01694915252</v>
      </c>
      <c r="F1160" s="732">
        <f t="shared" si="104"/>
        <v>16824752.723163888</v>
      </c>
      <c r="G1160" s="676">
        <f t="shared" si="105"/>
        <v>17080967.231638461</v>
      </c>
      <c r="H1160" s="726">
        <f>+J1129*G1160+E1160</f>
        <v>2355574.3494484117</v>
      </c>
      <c r="I1160" s="733">
        <f>+J1130*G1160+E1160</f>
        <v>2355574.3494484117</v>
      </c>
      <c r="J1160" s="729">
        <f t="shared" si="106"/>
        <v>0</v>
      </c>
      <c r="K1160" s="729"/>
      <c r="L1160" s="734"/>
      <c r="M1160" s="729">
        <f t="shared" si="107"/>
        <v>0</v>
      </c>
      <c r="N1160" s="734"/>
      <c r="O1160" s="729">
        <f t="shared" si="108"/>
        <v>0</v>
      </c>
      <c r="P1160" s="729">
        <f t="shared" si="109"/>
        <v>0</v>
      </c>
      <c r="Q1160" s="677"/>
    </row>
    <row r="1161" spans="2:17">
      <c r="B1161" s="334"/>
      <c r="C1161" s="725">
        <f>IF(D1128="","-",+C1160+1)</f>
        <v>2045</v>
      </c>
      <c r="D1161" s="676">
        <f t="shared" si="110"/>
        <v>16824752.723163888</v>
      </c>
      <c r="E1161" s="732">
        <f t="shared" si="111"/>
        <v>512429.01694915252</v>
      </c>
      <c r="F1161" s="732">
        <f t="shared" si="104"/>
        <v>16312323.706214735</v>
      </c>
      <c r="G1161" s="676">
        <f t="shared" si="105"/>
        <v>16568538.214689311</v>
      </c>
      <c r="H1161" s="726">
        <f>+J1129*G1161+E1161</f>
        <v>2300279.9894734342</v>
      </c>
      <c r="I1161" s="733">
        <f>+J1130*G1161+E1161</f>
        <v>2300279.9894734342</v>
      </c>
      <c r="J1161" s="729">
        <f t="shared" si="106"/>
        <v>0</v>
      </c>
      <c r="K1161" s="729"/>
      <c r="L1161" s="734"/>
      <c r="M1161" s="729">
        <f t="shared" si="107"/>
        <v>0</v>
      </c>
      <c r="N1161" s="734"/>
      <c r="O1161" s="729">
        <f t="shared" si="108"/>
        <v>0</v>
      </c>
      <c r="P1161" s="729">
        <f t="shared" si="109"/>
        <v>0</v>
      </c>
      <c r="Q1161" s="677"/>
    </row>
    <row r="1162" spans="2:17">
      <c r="B1162" s="334"/>
      <c r="C1162" s="725">
        <f>IF(D1128="","-",+C1161+1)</f>
        <v>2046</v>
      </c>
      <c r="D1162" s="676">
        <f t="shared" si="110"/>
        <v>16312323.706214735</v>
      </c>
      <c r="E1162" s="732">
        <f t="shared" si="111"/>
        <v>512429.01694915252</v>
      </c>
      <c r="F1162" s="732">
        <f t="shared" si="104"/>
        <v>15799894.689265583</v>
      </c>
      <c r="G1162" s="676">
        <f t="shared" si="105"/>
        <v>16056109.19774016</v>
      </c>
      <c r="H1162" s="726">
        <f>+J1129*G1162+E1162</f>
        <v>2244985.6294984566</v>
      </c>
      <c r="I1162" s="733">
        <f>+J1130*G1162+E1162</f>
        <v>2244985.6294984566</v>
      </c>
      <c r="J1162" s="729">
        <f t="shared" si="106"/>
        <v>0</v>
      </c>
      <c r="K1162" s="729"/>
      <c r="L1162" s="734"/>
      <c r="M1162" s="729">
        <f t="shared" si="107"/>
        <v>0</v>
      </c>
      <c r="N1162" s="734"/>
      <c r="O1162" s="729">
        <f t="shared" si="108"/>
        <v>0</v>
      </c>
      <c r="P1162" s="729">
        <f t="shared" si="109"/>
        <v>0</v>
      </c>
      <c r="Q1162" s="677"/>
    </row>
    <row r="1163" spans="2:17">
      <c r="B1163" s="334"/>
      <c r="C1163" s="725">
        <f>IF(D1128="","-",+C1162+1)</f>
        <v>2047</v>
      </c>
      <c r="D1163" s="676">
        <f t="shared" si="110"/>
        <v>15799894.689265583</v>
      </c>
      <c r="E1163" s="732">
        <f t="shared" si="111"/>
        <v>512429.01694915252</v>
      </c>
      <c r="F1163" s="732">
        <f t="shared" si="104"/>
        <v>15287465.67231643</v>
      </c>
      <c r="G1163" s="676">
        <f t="shared" si="105"/>
        <v>15543680.180791005</v>
      </c>
      <c r="H1163" s="726">
        <f>+J1129*G1163+E1163</f>
        <v>2189691.2695234786</v>
      </c>
      <c r="I1163" s="733">
        <f>+J1130*G1163+E1163</f>
        <v>2189691.2695234786</v>
      </c>
      <c r="J1163" s="729">
        <f t="shared" si="106"/>
        <v>0</v>
      </c>
      <c r="K1163" s="729"/>
      <c r="L1163" s="734"/>
      <c r="M1163" s="729">
        <f t="shared" si="107"/>
        <v>0</v>
      </c>
      <c r="N1163" s="734"/>
      <c r="O1163" s="729">
        <f t="shared" si="108"/>
        <v>0</v>
      </c>
      <c r="P1163" s="729">
        <f t="shared" si="109"/>
        <v>0</v>
      </c>
      <c r="Q1163" s="677"/>
    </row>
    <row r="1164" spans="2:17">
      <c r="B1164" s="334"/>
      <c r="C1164" s="725">
        <f>IF(D1128="","-",+C1163+1)</f>
        <v>2048</v>
      </c>
      <c r="D1164" s="676">
        <f t="shared" si="110"/>
        <v>15287465.67231643</v>
      </c>
      <c r="E1164" s="732">
        <f t="shared" si="111"/>
        <v>512429.01694915252</v>
      </c>
      <c r="F1164" s="732">
        <f t="shared" si="104"/>
        <v>14775036.655367278</v>
      </c>
      <c r="G1164" s="676">
        <f t="shared" si="105"/>
        <v>15031251.163841855</v>
      </c>
      <c r="H1164" s="726">
        <f>+J1129*G1164+E1164</f>
        <v>2134396.9095485015</v>
      </c>
      <c r="I1164" s="733">
        <f>+J1130*G1164+E1164</f>
        <v>2134396.9095485015</v>
      </c>
      <c r="J1164" s="729">
        <f t="shared" si="106"/>
        <v>0</v>
      </c>
      <c r="K1164" s="729"/>
      <c r="L1164" s="734"/>
      <c r="M1164" s="729">
        <f t="shared" si="107"/>
        <v>0</v>
      </c>
      <c r="N1164" s="734"/>
      <c r="O1164" s="729">
        <f t="shared" si="108"/>
        <v>0</v>
      </c>
      <c r="P1164" s="729">
        <f t="shared" si="109"/>
        <v>0</v>
      </c>
      <c r="Q1164" s="677"/>
    </row>
    <row r="1165" spans="2:17">
      <c r="B1165" s="334"/>
      <c r="C1165" s="725">
        <f>IF(D1128="","-",+C1164+1)</f>
        <v>2049</v>
      </c>
      <c r="D1165" s="676">
        <f t="shared" si="110"/>
        <v>14775036.655367278</v>
      </c>
      <c r="E1165" s="732">
        <f t="shared" si="111"/>
        <v>512429.01694915252</v>
      </c>
      <c r="F1165" s="732">
        <f t="shared" si="104"/>
        <v>14262607.638418125</v>
      </c>
      <c r="G1165" s="676">
        <f t="shared" si="105"/>
        <v>14518822.1468927</v>
      </c>
      <c r="H1165" s="726">
        <f>+J1129*G1165+E1165</f>
        <v>2079102.5495735237</v>
      </c>
      <c r="I1165" s="733">
        <f>+J1130*G1165+E1165</f>
        <v>2079102.5495735237</v>
      </c>
      <c r="J1165" s="729">
        <f t="shared" si="106"/>
        <v>0</v>
      </c>
      <c r="K1165" s="729"/>
      <c r="L1165" s="734"/>
      <c r="M1165" s="729">
        <f t="shared" si="107"/>
        <v>0</v>
      </c>
      <c r="N1165" s="734"/>
      <c r="O1165" s="729">
        <f t="shared" si="108"/>
        <v>0</v>
      </c>
      <c r="P1165" s="729">
        <f t="shared" si="109"/>
        <v>0</v>
      </c>
      <c r="Q1165" s="677"/>
    </row>
    <row r="1166" spans="2:17">
      <c r="B1166" s="334"/>
      <c r="C1166" s="725">
        <f>IF(D1128="","-",+C1165+1)</f>
        <v>2050</v>
      </c>
      <c r="D1166" s="676">
        <f t="shared" si="110"/>
        <v>14262607.638418125</v>
      </c>
      <c r="E1166" s="732">
        <f t="shared" si="111"/>
        <v>512429.01694915252</v>
      </c>
      <c r="F1166" s="732">
        <f t="shared" si="104"/>
        <v>13750178.621468972</v>
      </c>
      <c r="G1166" s="676">
        <f t="shared" si="105"/>
        <v>14006393.12994355</v>
      </c>
      <c r="H1166" s="726">
        <f>+J1129*G1166+E1166</f>
        <v>2023808.1895985461</v>
      </c>
      <c r="I1166" s="733">
        <f>+J1130*G1166+E1166</f>
        <v>2023808.1895985461</v>
      </c>
      <c r="J1166" s="729">
        <f t="shared" si="106"/>
        <v>0</v>
      </c>
      <c r="K1166" s="729"/>
      <c r="L1166" s="734"/>
      <c r="M1166" s="729">
        <f t="shared" si="107"/>
        <v>0</v>
      </c>
      <c r="N1166" s="734"/>
      <c r="O1166" s="729">
        <f t="shared" si="108"/>
        <v>0</v>
      </c>
      <c r="P1166" s="729">
        <f t="shared" si="109"/>
        <v>0</v>
      </c>
      <c r="Q1166" s="677"/>
    </row>
    <row r="1167" spans="2:17">
      <c r="B1167" s="334"/>
      <c r="C1167" s="725">
        <f>IF(D1128="","-",+C1166+1)</f>
        <v>2051</v>
      </c>
      <c r="D1167" s="676">
        <f t="shared" si="110"/>
        <v>13750178.621468972</v>
      </c>
      <c r="E1167" s="732">
        <f t="shared" si="111"/>
        <v>512429.01694915252</v>
      </c>
      <c r="F1167" s="732">
        <f t="shared" si="104"/>
        <v>13237749.60451982</v>
      </c>
      <c r="G1167" s="676">
        <f t="shared" si="105"/>
        <v>13493964.112994395</v>
      </c>
      <c r="H1167" s="726">
        <f>+J1129*G1167+E1167</f>
        <v>1968513.8296235683</v>
      </c>
      <c r="I1167" s="733">
        <f>+J1130*G1167+E1167</f>
        <v>1968513.8296235683</v>
      </c>
      <c r="J1167" s="729">
        <f t="shared" si="106"/>
        <v>0</v>
      </c>
      <c r="K1167" s="729"/>
      <c r="L1167" s="734"/>
      <c r="M1167" s="729">
        <f t="shared" si="107"/>
        <v>0</v>
      </c>
      <c r="N1167" s="734"/>
      <c r="O1167" s="729">
        <f t="shared" si="108"/>
        <v>0</v>
      </c>
      <c r="P1167" s="729">
        <f t="shared" si="109"/>
        <v>0</v>
      </c>
      <c r="Q1167" s="677"/>
    </row>
    <row r="1168" spans="2:17">
      <c r="B1168" s="334"/>
      <c r="C1168" s="725">
        <f>IF(D1128="","-",+C1167+1)</f>
        <v>2052</v>
      </c>
      <c r="D1168" s="676">
        <f t="shared" si="110"/>
        <v>13237749.60451982</v>
      </c>
      <c r="E1168" s="732">
        <f t="shared" si="111"/>
        <v>512429.01694915252</v>
      </c>
      <c r="F1168" s="732">
        <f t="shared" si="104"/>
        <v>12725320.587570667</v>
      </c>
      <c r="G1168" s="676">
        <f t="shared" si="105"/>
        <v>12981535.096045244</v>
      </c>
      <c r="H1168" s="726">
        <f>+J1129*G1168+E1168</f>
        <v>1913219.469648591</v>
      </c>
      <c r="I1168" s="733">
        <f>+J1130*G1168+E1168</f>
        <v>1913219.469648591</v>
      </c>
      <c r="J1168" s="729">
        <f t="shared" si="106"/>
        <v>0</v>
      </c>
      <c r="K1168" s="729"/>
      <c r="L1168" s="734"/>
      <c r="M1168" s="729">
        <f t="shared" si="107"/>
        <v>0</v>
      </c>
      <c r="N1168" s="734"/>
      <c r="O1168" s="729">
        <f t="shared" si="108"/>
        <v>0</v>
      </c>
      <c r="P1168" s="729">
        <f t="shared" si="109"/>
        <v>0</v>
      </c>
      <c r="Q1168" s="677"/>
    </row>
    <row r="1169" spans="2:17">
      <c r="B1169" s="334"/>
      <c r="C1169" s="725">
        <f>IF(D1128="","-",+C1168+1)</f>
        <v>2053</v>
      </c>
      <c r="D1169" s="676">
        <f t="shared" si="110"/>
        <v>12725320.587570667</v>
      </c>
      <c r="E1169" s="732">
        <f t="shared" si="111"/>
        <v>512429.01694915252</v>
      </c>
      <c r="F1169" s="732">
        <f t="shared" si="104"/>
        <v>12212891.570621515</v>
      </c>
      <c r="G1169" s="676">
        <f t="shared" si="105"/>
        <v>12469106.07909609</v>
      </c>
      <c r="H1169" s="726">
        <f>+J1129*G1169+E1169</f>
        <v>1857925.1096736132</v>
      </c>
      <c r="I1169" s="733">
        <f>+J1130*G1169+E1169</f>
        <v>1857925.1096736132</v>
      </c>
      <c r="J1169" s="729">
        <f t="shared" si="106"/>
        <v>0</v>
      </c>
      <c r="K1169" s="729"/>
      <c r="L1169" s="734"/>
      <c r="M1169" s="729">
        <f t="shared" si="107"/>
        <v>0</v>
      </c>
      <c r="N1169" s="734"/>
      <c r="O1169" s="729">
        <f t="shared" si="108"/>
        <v>0</v>
      </c>
      <c r="P1169" s="729">
        <f t="shared" si="109"/>
        <v>0</v>
      </c>
      <c r="Q1169" s="677"/>
    </row>
    <row r="1170" spans="2:17">
      <c r="B1170" s="334"/>
      <c r="C1170" s="725">
        <f>IF(D1128="","-",+C1169+1)</f>
        <v>2054</v>
      </c>
      <c r="D1170" s="676">
        <f t="shared" si="110"/>
        <v>12212891.570621515</v>
      </c>
      <c r="E1170" s="732">
        <f t="shared" si="111"/>
        <v>512429.01694915252</v>
      </c>
      <c r="F1170" s="732">
        <f t="shared" si="104"/>
        <v>11700462.553672362</v>
      </c>
      <c r="G1170" s="676">
        <f t="shared" si="105"/>
        <v>11956677.062146939</v>
      </c>
      <c r="H1170" s="726">
        <f>+J1129*G1170+E1170</f>
        <v>1802630.7496986357</v>
      </c>
      <c r="I1170" s="733">
        <f>+J1130*G1170+E1170</f>
        <v>1802630.7496986357</v>
      </c>
      <c r="J1170" s="729">
        <f t="shared" si="106"/>
        <v>0</v>
      </c>
      <c r="K1170" s="729"/>
      <c r="L1170" s="734"/>
      <c r="M1170" s="729">
        <f t="shared" si="107"/>
        <v>0</v>
      </c>
      <c r="N1170" s="734"/>
      <c r="O1170" s="729">
        <f t="shared" si="108"/>
        <v>0</v>
      </c>
      <c r="P1170" s="729">
        <f t="shared" si="109"/>
        <v>0</v>
      </c>
      <c r="Q1170" s="677"/>
    </row>
    <row r="1171" spans="2:17">
      <c r="B1171" s="334"/>
      <c r="C1171" s="725">
        <f>IF(D1128="","-",+C1170+1)</f>
        <v>2055</v>
      </c>
      <c r="D1171" s="676">
        <f t="shared" si="110"/>
        <v>11700462.553672362</v>
      </c>
      <c r="E1171" s="732">
        <f t="shared" si="111"/>
        <v>512429.01694915252</v>
      </c>
      <c r="F1171" s="732">
        <f t="shared" si="104"/>
        <v>11188033.53672321</v>
      </c>
      <c r="G1171" s="676">
        <f t="shared" si="105"/>
        <v>11444248.045197785</v>
      </c>
      <c r="H1171" s="726">
        <f>+J1129*G1171+E1171</f>
        <v>1747336.3897236579</v>
      </c>
      <c r="I1171" s="733">
        <f>+J1130*G1171+E1171</f>
        <v>1747336.3897236579</v>
      </c>
      <c r="J1171" s="729">
        <f t="shared" si="106"/>
        <v>0</v>
      </c>
      <c r="K1171" s="729"/>
      <c r="L1171" s="734"/>
      <c r="M1171" s="729">
        <f t="shared" si="107"/>
        <v>0</v>
      </c>
      <c r="N1171" s="734"/>
      <c r="O1171" s="729">
        <f t="shared" si="108"/>
        <v>0</v>
      </c>
      <c r="P1171" s="729">
        <f t="shared" si="109"/>
        <v>0</v>
      </c>
      <c r="Q1171" s="677"/>
    </row>
    <row r="1172" spans="2:17">
      <c r="B1172" s="334"/>
      <c r="C1172" s="725">
        <f>IF(D1128="","-",+C1171+1)</f>
        <v>2056</v>
      </c>
      <c r="D1172" s="676">
        <f t="shared" si="110"/>
        <v>11188033.53672321</v>
      </c>
      <c r="E1172" s="732">
        <f t="shared" si="111"/>
        <v>512429.01694915252</v>
      </c>
      <c r="F1172" s="732">
        <f t="shared" si="104"/>
        <v>10675604.519774057</v>
      </c>
      <c r="G1172" s="676">
        <f t="shared" si="105"/>
        <v>10931819.028248634</v>
      </c>
      <c r="H1172" s="726">
        <f>+J1129*G1172+E1172</f>
        <v>1692042.0297486803</v>
      </c>
      <c r="I1172" s="733">
        <f>+J1130*G1172+E1172</f>
        <v>1692042.0297486803</v>
      </c>
      <c r="J1172" s="729">
        <f t="shared" si="106"/>
        <v>0</v>
      </c>
      <c r="K1172" s="729"/>
      <c r="L1172" s="734"/>
      <c r="M1172" s="729">
        <f t="shared" si="107"/>
        <v>0</v>
      </c>
      <c r="N1172" s="734"/>
      <c r="O1172" s="729">
        <f t="shared" si="108"/>
        <v>0</v>
      </c>
      <c r="P1172" s="729">
        <f t="shared" si="109"/>
        <v>0</v>
      </c>
      <c r="Q1172" s="677"/>
    </row>
    <row r="1173" spans="2:17">
      <c r="B1173" s="334"/>
      <c r="C1173" s="725">
        <f>IF(D1128="","-",+C1172+1)</f>
        <v>2057</v>
      </c>
      <c r="D1173" s="676">
        <f t="shared" si="110"/>
        <v>10675604.519774057</v>
      </c>
      <c r="E1173" s="732">
        <f t="shared" si="111"/>
        <v>512429.01694915252</v>
      </c>
      <c r="F1173" s="732">
        <f t="shared" si="104"/>
        <v>10163175.502824904</v>
      </c>
      <c r="G1173" s="676">
        <f t="shared" si="105"/>
        <v>10419390.01129948</v>
      </c>
      <c r="H1173" s="726">
        <f>+J1129*G1173+E1173</f>
        <v>1636747.6697737025</v>
      </c>
      <c r="I1173" s="733">
        <f>+J1130*G1173+E1173</f>
        <v>1636747.6697737025</v>
      </c>
      <c r="J1173" s="729">
        <f t="shared" si="106"/>
        <v>0</v>
      </c>
      <c r="K1173" s="729"/>
      <c r="L1173" s="734"/>
      <c r="M1173" s="729">
        <f t="shared" si="107"/>
        <v>0</v>
      </c>
      <c r="N1173" s="734"/>
      <c r="O1173" s="729">
        <f t="shared" si="108"/>
        <v>0</v>
      </c>
      <c r="P1173" s="729">
        <f t="shared" si="109"/>
        <v>0</v>
      </c>
      <c r="Q1173" s="677"/>
    </row>
    <row r="1174" spans="2:17">
      <c r="B1174" s="334"/>
      <c r="C1174" s="725">
        <f>IF(D1128="","-",+C1173+1)</f>
        <v>2058</v>
      </c>
      <c r="D1174" s="676">
        <f t="shared" si="110"/>
        <v>10163175.502824904</v>
      </c>
      <c r="E1174" s="732">
        <f t="shared" si="111"/>
        <v>512429.01694915252</v>
      </c>
      <c r="F1174" s="732">
        <f t="shared" si="104"/>
        <v>9650746.4858757518</v>
      </c>
      <c r="G1174" s="676">
        <f t="shared" si="105"/>
        <v>9906960.994350329</v>
      </c>
      <c r="H1174" s="726">
        <f>+J1129*G1174+E1174</f>
        <v>1581453.3097987252</v>
      </c>
      <c r="I1174" s="733">
        <f>+J1130*G1174+E1174</f>
        <v>1581453.3097987252</v>
      </c>
      <c r="J1174" s="729">
        <f t="shared" si="106"/>
        <v>0</v>
      </c>
      <c r="K1174" s="729"/>
      <c r="L1174" s="734"/>
      <c r="M1174" s="729">
        <f t="shared" si="107"/>
        <v>0</v>
      </c>
      <c r="N1174" s="734"/>
      <c r="O1174" s="729">
        <f t="shared" si="108"/>
        <v>0</v>
      </c>
      <c r="P1174" s="729">
        <f t="shared" si="109"/>
        <v>0</v>
      </c>
      <c r="Q1174" s="677"/>
    </row>
    <row r="1175" spans="2:17">
      <c r="B1175" s="334"/>
      <c r="C1175" s="725">
        <f>IF(D1128="","-",+C1174+1)</f>
        <v>2059</v>
      </c>
      <c r="D1175" s="676">
        <f t="shared" si="110"/>
        <v>9650746.4858757518</v>
      </c>
      <c r="E1175" s="732">
        <f t="shared" si="111"/>
        <v>512429.01694915252</v>
      </c>
      <c r="F1175" s="732">
        <f t="shared" si="104"/>
        <v>9138317.4689265992</v>
      </c>
      <c r="G1175" s="676">
        <f t="shared" si="105"/>
        <v>9394531.9774011746</v>
      </c>
      <c r="H1175" s="726">
        <f>+J1129*G1175+E1175</f>
        <v>1526158.9498237472</v>
      </c>
      <c r="I1175" s="733">
        <f>+J1130*G1175+E1175</f>
        <v>1526158.9498237472</v>
      </c>
      <c r="J1175" s="729">
        <f t="shared" si="106"/>
        <v>0</v>
      </c>
      <c r="K1175" s="729"/>
      <c r="L1175" s="734"/>
      <c r="M1175" s="729">
        <f t="shared" si="107"/>
        <v>0</v>
      </c>
      <c r="N1175" s="734"/>
      <c r="O1175" s="729">
        <f t="shared" si="108"/>
        <v>0</v>
      </c>
      <c r="P1175" s="729">
        <f t="shared" si="109"/>
        <v>0</v>
      </c>
      <c r="Q1175" s="677"/>
    </row>
    <row r="1176" spans="2:17">
      <c r="B1176" s="334"/>
      <c r="C1176" s="725">
        <f>IF(D1128="","-",+C1175+1)</f>
        <v>2060</v>
      </c>
      <c r="D1176" s="676">
        <f t="shared" si="110"/>
        <v>9138317.4689265992</v>
      </c>
      <c r="E1176" s="732">
        <f t="shared" si="111"/>
        <v>512429.01694915252</v>
      </c>
      <c r="F1176" s="732">
        <f t="shared" si="104"/>
        <v>8625888.4519774467</v>
      </c>
      <c r="G1176" s="676">
        <f t="shared" si="105"/>
        <v>8882102.9604520239</v>
      </c>
      <c r="H1176" s="726">
        <f>+J1129*G1176+E1176</f>
        <v>1470864.5898487698</v>
      </c>
      <c r="I1176" s="733">
        <f>+J1130*G1176+E1176</f>
        <v>1470864.5898487698</v>
      </c>
      <c r="J1176" s="729">
        <f t="shared" si="106"/>
        <v>0</v>
      </c>
      <c r="K1176" s="729"/>
      <c r="L1176" s="734"/>
      <c r="M1176" s="729">
        <f t="shared" si="107"/>
        <v>0</v>
      </c>
      <c r="N1176" s="734"/>
      <c r="O1176" s="729">
        <f t="shared" si="108"/>
        <v>0</v>
      </c>
      <c r="P1176" s="729">
        <f t="shared" si="109"/>
        <v>0</v>
      </c>
      <c r="Q1176" s="677"/>
    </row>
    <row r="1177" spans="2:17">
      <c r="B1177" s="334"/>
      <c r="C1177" s="725">
        <f>IF(D1128="","-",+C1176+1)</f>
        <v>2061</v>
      </c>
      <c r="D1177" s="676">
        <f t="shared" si="110"/>
        <v>8625888.4519774467</v>
      </c>
      <c r="E1177" s="732">
        <f t="shared" si="111"/>
        <v>512429.01694915252</v>
      </c>
      <c r="F1177" s="732">
        <f t="shared" si="104"/>
        <v>8113459.4350282941</v>
      </c>
      <c r="G1177" s="676">
        <f t="shared" si="105"/>
        <v>8369673.9435028704</v>
      </c>
      <c r="H1177" s="726">
        <f>+J1129*G1177+E1177</f>
        <v>1415570.229873792</v>
      </c>
      <c r="I1177" s="733">
        <f>+J1130*G1177+E1177</f>
        <v>1415570.229873792</v>
      </c>
      <c r="J1177" s="729">
        <f t="shared" si="106"/>
        <v>0</v>
      </c>
      <c r="K1177" s="729"/>
      <c r="L1177" s="734"/>
      <c r="M1177" s="729">
        <f t="shared" si="107"/>
        <v>0</v>
      </c>
      <c r="N1177" s="734"/>
      <c r="O1177" s="729">
        <f t="shared" si="108"/>
        <v>0</v>
      </c>
      <c r="P1177" s="729">
        <f t="shared" si="109"/>
        <v>0</v>
      </c>
      <c r="Q1177" s="677"/>
    </row>
    <row r="1178" spans="2:17">
      <c r="B1178" s="334"/>
      <c r="C1178" s="725">
        <f>IF(D1128="","-",+C1177+1)</f>
        <v>2062</v>
      </c>
      <c r="D1178" s="676">
        <f t="shared" si="110"/>
        <v>8113459.4350282941</v>
      </c>
      <c r="E1178" s="732">
        <f t="shared" si="111"/>
        <v>512429.01694915252</v>
      </c>
      <c r="F1178" s="732">
        <f t="shared" si="104"/>
        <v>7601030.4180791415</v>
      </c>
      <c r="G1178" s="676">
        <f t="shared" si="105"/>
        <v>7857244.9265537178</v>
      </c>
      <c r="H1178" s="726">
        <f>+J1129*G1178+E1178</f>
        <v>1360275.8698988145</v>
      </c>
      <c r="I1178" s="733">
        <f>+J1130*G1178+E1178</f>
        <v>1360275.8698988145</v>
      </c>
      <c r="J1178" s="729">
        <f t="shared" si="106"/>
        <v>0</v>
      </c>
      <c r="K1178" s="729"/>
      <c r="L1178" s="734"/>
      <c r="M1178" s="729">
        <f t="shared" si="107"/>
        <v>0</v>
      </c>
      <c r="N1178" s="734"/>
      <c r="O1178" s="729">
        <f t="shared" si="108"/>
        <v>0</v>
      </c>
      <c r="P1178" s="729">
        <f t="shared" si="109"/>
        <v>0</v>
      </c>
      <c r="Q1178" s="677"/>
    </row>
    <row r="1179" spans="2:17">
      <c r="B1179" s="334"/>
      <c r="C1179" s="725">
        <f>IF(D1128="","-",+C1178+1)</f>
        <v>2063</v>
      </c>
      <c r="D1179" s="676">
        <f t="shared" si="110"/>
        <v>7601030.4180791415</v>
      </c>
      <c r="E1179" s="732">
        <f t="shared" si="111"/>
        <v>512429.01694915252</v>
      </c>
      <c r="F1179" s="732">
        <f t="shared" si="104"/>
        <v>7088601.401129989</v>
      </c>
      <c r="G1179" s="676">
        <f t="shared" si="105"/>
        <v>7344815.9096045652</v>
      </c>
      <c r="H1179" s="726">
        <f>+J1129*G1179+E1179</f>
        <v>1304981.5099238369</v>
      </c>
      <c r="I1179" s="733">
        <f>+J1130*G1179+E1179</f>
        <v>1304981.5099238369</v>
      </c>
      <c r="J1179" s="729">
        <f t="shared" si="106"/>
        <v>0</v>
      </c>
      <c r="K1179" s="729"/>
      <c r="L1179" s="734"/>
      <c r="M1179" s="729">
        <f t="shared" si="107"/>
        <v>0</v>
      </c>
      <c r="N1179" s="734"/>
      <c r="O1179" s="729">
        <f t="shared" si="108"/>
        <v>0</v>
      </c>
      <c r="P1179" s="729">
        <f t="shared" si="109"/>
        <v>0</v>
      </c>
      <c r="Q1179" s="677"/>
    </row>
    <row r="1180" spans="2:17">
      <c r="B1180" s="334"/>
      <c r="C1180" s="725">
        <f>IF(D1128="","-",+C1179+1)</f>
        <v>2064</v>
      </c>
      <c r="D1180" s="676">
        <f t="shared" si="110"/>
        <v>7088601.401129989</v>
      </c>
      <c r="E1180" s="732">
        <f t="shared" si="111"/>
        <v>512429.01694915252</v>
      </c>
      <c r="F1180" s="732">
        <f t="shared" si="104"/>
        <v>6576172.3841808364</v>
      </c>
      <c r="G1180" s="676">
        <f t="shared" si="105"/>
        <v>6832386.8926554127</v>
      </c>
      <c r="H1180" s="726">
        <f>+J1129*G1180+E1180</f>
        <v>1249687.1499488591</v>
      </c>
      <c r="I1180" s="733">
        <f>+J1130*G1180+E1180</f>
        <v>1249687.1499488591</v>
      </c>
      <c r="J1180" s="729">
        <f t="shared" si="106"/>
        <v>0</v>
      </c>
      <c r="K1180" s="729"/>
      <c r="L1180" s="734"/>
      <c r="M1180" s="729">
        <f t="shared" si="107"/>
        <v>0</v>
      </c>
      <c r="N1180" s="734"/>
      <c r="O1180" s="729">
        <f t="shared" si="108"/>
        <v>0</v>
      </c>
      <c r="P1180" s="729">
        <f t="shared" si="109"/>
        <v>0</v>
      </c>
      <c r="Q1180" s="677"/>
    </row>
    <row r="1181" spans="2:17">
      <c r="B1181" s="334"/>
      <c r="C1181" s="725">
        <f>IF(D1128="","-",+C1180+1)</f>
        <v>2065</v>
      </c>
      <c r="D1181" s="676">
        <f t="shared" si="110"/>
        <v>6576172.3841808364</v>
      </c>
      <c r="E1181" s="732">
        <f t="shared" si="111"/>
        <v>512429.01694915252</v>
      </c>
      <c r="F1181" s="732">
        <f t="shared" si="104"/>
        <v>6063743.3672316838</v>
      </c>
      <c r="G1181" s="676">
        <f t="shared" si="105"/>
        <v>6319957.8757062601</v>
      </c>
      <c r="H1181" s="726">
        <f>+J1129*G1181+E1181</f>
        <v>1194392.7899738816</v>
      </c>
      <c r="I1181" s="733">
        <f>+J1130*G1181+E1181</f>
        <v>1194392.7899738816</v>
      </c>
      <c r="J1181" s="729">
        <f t="shared" si="106"/>
        <v>0</v>
      </c>
      <c r="K1181" s="729"/>
      <c r="L1181" s="734"/>
      <c r="M1181" s="729">
        <f t="shared" si="107"/>
        <v>0</v>
      </c>
      <c r="N1181" s="734"/>
      <c r="O1181" s="729">
        <f t="shared" si="108"/>
        <v>0</v>
      </c>
      <c r="P1181" s="729">
        <f t="shared" si="109"/>
        <v>0</v>
      </c>
      <c r="Q1181" s="677"/>
    </row>
    <row r="1182" spans="2:17">
      <c r="B1182" s="334"/>
      <c r="C1182" s="725">
        <f>IF(D1128="","-",+C1181+1)</f>
        <v>2066</v>
      </c>
      <c r="D1182" s="676">
        <f t="shared" si="110"/>
        <v>6063743.3672316838</v>
      </c>
      <c r="E1182" s="732">
        <f t="shared" si="111"/>
        <v>512429.01694915252</v>
      </c>
      <c r="F1182" s="732">
        <f t="shared" si="104"/>
        <v>5551314.3502825312</v>
      </c>
      <c r="G1182" s="676">
        <f t="shared" si="105"/>
        <v>5807528.8587571075</v>
      </c>
      <c r="H1182" s="726">
        <f>+J1129*G1182+E1182</f>
        <v>1139098.429998904</v>
      </c>
      <c r="I1182" s="733">
        <f>+J1130*G1182+E1182</f>
        <v>1139098.429998904</v>
      </c>
      <c r="J1182" s="729">
        <f t="shared" si="106"/>
        <v>0</v>
      </c>
      <c r="K1182" s="729"/>
      <c r="L1182" s="734"/>
      <c r="M1182" s="729">
        <f t="shared" si="107"/>
        <v>0</v>
      </c>
      <c r="N1182" s="734"/>
      <c r="O1182" s="729">
        <f t="shared" si="108"/>
        <v>0</v>
      </c>
      <c r="P1182" s="729">
        <f t="shared" si="109"/>
        <v>0</v>
      </c>
      <c r="Q1182" s="677"/>
    </row>
    <row r="1183" spans="2:17">
      <c r="B1183" s="334"/>
      <c r="C1183" s="725">
        <f>IF(D1128="","-",+C1182+1)</f>
        <v>2067</v>
      </c>
      <c r="D1183" s="676">
        <f t="shared" si="110"/>
        <v>5551314.3502825312</v>
      </c>
      <c r="E1183" s="732">
        <f t="shared" si="111"/>
        <v>512429.01694915252</v>
      </c>
      <c r="F1183" s="732">
        <f t="shared" si="104"/>
        <v>5038885.3333333787</v>
      </c>
      <c r="G1183" s="676">
        <f t="shared" si="105"/>
        <v>5295099.8418079549</v>
      </c>
      <c r="H1183" s="726">
        <f>+J1129*G1183+E1183</f>
        <v>1083804.0700239262</v>
      </c>
      <c r="I1183" s="733">
        <f>+J1130*G1183+E1183</f>
        <v>1083804.0700239262</v>
      </c>
      <c r="J1183" s="729">
        <f t="shared" si="106"/>
        <v>0</v>
      </c>
      <c r="K1183" s="729"/>
      <c r="L1183" s="734"/>
      <c r="M1183" s="729">
        <f t="shared" si="107"/>
        <v>0</v>
      </c>
      <c r="N1183" s="734"/>
      <c r="O1183" s="729">
        <f t="shared" si="108"/>
        <v>0</v>
      </c>
      <c r="P1183" s="729">
        <f t="shared" si="109"/>
        <v>0</v>
      </c>
      <c r="Q1183" s="677"/>
    </row>
    <row r="1184" spans="2:17">
      <c r="B1184" s="334"/>
      <c r="C1184" s="725">
        <f>IF(D1128="","-",+C1183+1)</f>
        <v>2068</v>
      </c>
      <c r="D1184" s="676">
        <f t="shared" si="110"/>
        <v>5038885.3333333787</v>
      </c>
      <c r="E1184" s="732">
        <f t="shared" si="111"/>
        <v>512429.01694915252</v>
      </c>
      <c r="F1184" s="732">
        <f t="shared" si="104"/>
        <v>4526456.3163842261</v>
      </c>
      <c r="G1184" s="676">
        <f t="shared" si="105"/>
        <v>4782670.8248588024</v>
      </c>
      <c r="H1184" s="726">
        <f>+J1129*G1184+E1184</f>
        <v>1028509.7100489486</v>
      </c>
      <c r="I1184" s="733">
        <f>+J1130*G1184+E1184</f>
        <v>1028509.7100489486</v>
      </c>
      <c r="J1184" s="729">
        <f t="shared" si="106"/>
        <v>0</v>
      </c>
      <c r="K1184" s="729"/>
      <c r="L1184" s="734"/>
      <c r="M1184" s="729">
        <f t="shared" si="107"/>
        <v>0</v>
      </c>
      <c r="N1184" s="734"/>
      <c r="O1184" s="729">
        <f t="shared" si="108"/>
        <v>0</v>
      </c>
      <c r="P1184" s="729">
        <f t="shared" si="109"/>
        <v>0</v>
      </c>
      <c r="Q1184" s="677"/>
    </row>
    <row r="1185" spans="2:17">
      <c r="B1185" s="334"/>
      <c r="C1185" s="725">
        <f>IF(D1128="","-",+C1184+1)</f>
        <v>2069</v>
      </c>
      <c r="D1185" s="676">
        <f t="shared" si="110"/>
        <v>4526456.3163842261</v>
      </c>
      <c r="E1185" s="732">
        <f t="shared" si="111"/>
        <v>512429.01694915252</v>
      </c>
      <c r="F1185" s="732">
        <f t="shared" si="104"/>
        <v>4014027.2994350735</v>
      </c>
      <c r="G1185" s="676">
        <f t="shared" si="105"/>
        <v>4270241.8079096498</v>
      </c>
      <c r="H1185" s="726">
        <f>+J1129*G1185+E1185</f>
        <v>973215.35007397097</v>
      </c>
      <c r="I1185" s="733">
        <f>+J1130*G1185+E1185</f>
        <v>973215.35007397097</v>
      </c>
      <c r="J1185" s="729">
        <f t="shared" si="106"/>
        <v>0</v>
      </c>
      <c r="K1185" s="729"/>
      <c r="L1185" s="734"/>
      <c r="M1185" s="729">
        <f t="shared" si="107"/>
        <v>0</v>
      </c>
      <c r="N1185" s="734"/>
      <c r="O1185" s="729">
        <f t="shared" si="108"/>
        <v>0</v>
      </c>
      <c r="P1185" s="729">
        <f t="shared" si="109"/>
        <v>0</v>
      </c>
      <c r="Q1185" s="677"/>
    </row>
    <row r="1186" spans="2:17">
      <c r="B1186" s="334"/>
      <c r="C1186" s="725">
        <f>IF(D1128="","-",+C1185+1)</f>
        <v>2070</v>
      </c>
      <c r="D1186" s="676">
        <f t="shared" si="110"/>
        <v>4014027.2994350735</v>
      </c>
      <c r="E1186" s="732">
        <f t="shared" si="111"/>
        <v>512429.01694915252</v>
      </c>
      <c r="F1186" s="732">
        <f t="shared" si="104"/>
        <v>3501598.2824859209</v>
      </c>
      <c r="G1186" s="676">
        <f t="shared" si="105"/>
        <v>3757812.7909604972</v>
      </c>
      <c r="H1186" s="726">
        <f>+J1129*G1186+E1186</f>
        <v>917920.99009899329</v>
      </c>
      <c r="I1186" s="733">
        <f>+J1130*G1186+E1186</f>
        <v>917920.99009899329</v>
      </c>
      <c r="J1186" s="729">
        <f t="shared" si="106"/>
        <v>0</v>
      </c>
      <c r="K1186" s="729"/>
      <c r="L1186" s="734"/>
      <c r="M1186" s="729">
        <f t="shared" si="107"/>
        <v>0</v>
      </c>
      <c r="N1186" s="734"/>
      <c r="O1186" s="729">
        <f t="shared" si="108"/>
        <v>0</v>
      </c>
      <c r="P1186" s="729">
        <f t="shared" si="109"/>
        <v>0</v>
      </c>
      <c r="Q1186" s="677"/>
    </row>
    <row r="1187" spans="2:17">
      <c r="B1187" s="334"/>
      <c r="C1187" s="725">
        <f>IF(D1128="","-",+C1186+1)</f>
        <v>2071</v>
      </c>
      <c r="D1187" s="676">
        <f t="shared" si="110"/>
        <v>3501598.2824859209</v>
      </c>
      <c r="E1187" s="732">
        <f t="shared" si="111"/>
        <v>512429.01694915252</v>
      </c>
      <c r="F1187" s="732">
        <f t="shared" si="104"/>
        <v>2989169.2655367684</v>
      </c>
      <c r="G1187" s="676">
        <f t="shared" si="105"/>
        <v>3245383.7740113446</v>
      </c>
      <c r="H1187" s="726">
        <f>+J1129*G1187+E1187</f>
        <v>862626.63012401573</v>
      </c>
      <c r="I1187" s="733">
        <f>+J1130*G1187+E1187</f>
        <v>862626.63012401573</v>
      </c>
      <c r="J1187" s="729">
        <f t="shared" si="106"/>
        <v>0</v>
      </c>
      <c r="K1187" s="729"/>
      <c r="L1187" s="734"/>
      <c r="M1187" s="729">
        <f t="shared" si="107"/>
        <v>0</v>
      </c>
      <c r="N1187" s="734"/>
      <c r="O1187" s="729">
        <f t="shared" si="108"/>
        <v>0</v>
      </c>
      <c r="P1187" s="729">
        <f t="shared" si="109"/>
        <v>0</v>
      </c>
      <c r="Q1187" s="677"/>
    </row>
    <row r="1188" spans="2:17">
      <c r="B1188" s="334"/>
      <c r="C1188" s="725">
        <f>IF(D1128="","-",+C1187+1)</f>
        <v>2072</v>
      </c>
      <c r="D1188" s="676">
        <f t="shared" si="110"/>
        <v>2989169.2655367684</v>
      </c>
      <c r="E1188" s="732">
        <f t="shared" si="111"/>
        <v>512429.01694915252</v>
      </c>
      <c r="F1188" s="732">
        <f t="shared" si="104"/>
        <v>2476740.2485876158</v>
      </c>
      <c r="G1188" s="676">
        <f t="shared" si="105"/>
        <v>2732954.7570621921</v>
      </c>
      <c r="H1188" s="726">
        <f>+J1129*G1188+E1188</f>
        <v>807332.27014903817</v>
      </c>
      <c r="I1188" s="733">
        <f>+J1130*G1188+E1188</f>
        <v>807332.27014903817</v>
      </c>
      <c r="J1188" s="729">
        <f t="shared" si="106"/>
        <v>0</v>
      </c>
      <c r="K1188" s="729"/>
      <c r="L1188" s="734"/>
      <c r="M1188" s="729">
        <f t="shared" si="107"/>
        <v>0</v>
      </c>
      <c r="N1188" s="734"/>
      <c r="O1188" s="729">
        <f t="shared" si="108"/>
        <v>0</v>
      </c>
      <c r="P1188" s="729">
        <f t="shared" si="109"/>
        <v>0</v>
      </c>
      <c r="Q1188" s="677"/>
    </row>
    <row r="1189" spans="2:17">
      <c r="B1189" s="334"/>
      <c r="C1189" s="725">
        <f>IF(D1128="","-",+C1188+1)</f>
        <v>2073</v>
      </c>
      <c r="D1189" s="676">
        <f t="shared" si="110"/>
        <v>2476740.2485876158</v>
      </c>
      <c r="E1189" s="732">
        <f t="shared" si="111"/>
        <v>512429.01694915252</v>
      </c>
      <c r="F1189" s="732">
        <f t="shared" si="104"/>
        <v>1964311.2316384632</v>
      </c>
      <c r="G1189" s="676">
        <f t="shared" si="105"/>
        <v>2220525.7401130395</v>
      </c>
      <c r="H1189" s="726">
        <f>+J1129*G1189+E1189</f>
        <v>752037.9101740605</v>
      </c>
      <c r="I1189" s="733">
        <f>+J1130*G1189+E1189</f>
        <v>752037.9101740605</v>
      </c>
      <c r="J1189" s="729">
        <f t="shared" si="106"/>
        <v>0</v>
      </c>
      <c r="K1189" s="729"/>
      <c r="L1189" s="734"/>
      <c r="M1189" s="729">
        <f t="shared" si="107"/>
        <v>0</v>
      </c>
      <c r="N1189" s="734"/>
      <c r="O1189" s="729">
        <f t="shared" si="108"/>
        <v>0</v>
      </c>
      <c r="P1189" s="729">
        <f t="shared" si="109"/>
        <v>0</v>
      </c>
      <c r="Q1189" s="677"/>
    </row>
    <row r="1190" spans="2:17">
      <c r="B1190" s="334"/>
      <c r="C1190" s="725">
        <f>IF(D1128="","-",+C1189+1)</f>
        <v>2074</v>
      </c>
      <c r="D1190" s="676">
        <f t="shared" si="110"/>
        <v>1964311.2316384632</v>
      </c>
      <c r="E1190" s="732">
        <f t="shared" si="111"/>
        <v>512429.01694915252</v>
      </c>
      <c r="F1190" s="732">
        <f t="shared" si="104"/>
        <v>1451882.2146893106</v>
      </c>
      <c r="G1190" s="676">
        <f t="shared" si="105"/>
        <v>1708096.7231638869</v>
      </c>
      <c r="H1190" s="726">
        <f>+J1129*G1190+E1190</f>
        <v>696743.55019908282</v>
      </c>
      <c r="I1190" s="733">
        <f>+J1130*G1190+E1190</f>
        <v>696743.55019908282</v>
      </c>
      <c r="J1190" s="729">
        <f t="shared" si="106"/>
        <v>0</v>
      </c>
      <c r="K1190" s="729"/>
      <c r="L1190" s="734"/>
      <c r="M1190" s="729">
        <f t="shared" si="107"/>
        <v>0</v>
      </c>
      <c r="N1190" s="734"/>
      <c r="O1190" s="729">
        <f t="shared" si="108"/>
        <v>0</v>
      </c>
      <c r="P1190" s="729">
        <f t="shared" si="109"/>
        <v>0</v>
      </c>
      <c r="Q1190" s="677"/>
    </row>
    <row r="1191" spans="2:17">
      <c r="B1191" s="334"/>
      <c r="C1191" s="725">
        <f>IF(D1128="","-",+C1190+1)</f>
        <v>2075</v>
      </c>
      <c r="D1191" s="676">
        <f t="shared" si="110"/>
        <v>1451882.2146893106</v>
      </c>
      <c r="E1191" s="732">
        <f t="shared" si="111"/>
        <v>512429.01694915252</v>
      </c>
      <c r="F1191" s="732">
        <f t="shared" si="104"/>
        <v>939453.19774015807</v>
      </c>
      <c r="G1191" s="676">
        <f t="shared" si="105"/>
        <v>1195667.7062147344</v>
      </c>
      <c r="H1191" s="726">
        <f>+J1129*G1191+E1191</f>
        <v>641449.19022410514</v>
      </c>
      <c r="I1191" s="733">
        <f>+J1130*G1191+E1191</f>
        <v>641449.19022410514</v>
      </c>
      <c r="J1191" s="729">
        <f t="shared" si="106"/>
        <v>0</v>
      </c>
      <c r="K1191" s="729"/>
      <c r="L1191" s="734"/>
      <c r="M1191" s="729">
        <f t="shared" si="107"/>
        <v>0</v>
      </c>
      <c r="N1191" s="734"/>
      <c r="O1191" s="729">
        <f t="shared" si="108"/>
        <v>0</v>
      </c>
      <c r="P1191" s="729">
        <f t="shared" si="109"/>
        <v>0</v>
      </c>
      <c r="Q1191" s="677"/>
    </row>
    <row r="1192" spans="2:17">
      <c r="B1192" s="334"/>
      <c r="C1192" s="725">
        <f>IF(D1128="","-",+C1191+1)</f>
        <v>2076</v>
      </c>
      <c r="D1192" s="676">
        <f t="shared" si="110"/>
        <v>939453.19774015807</v>
      </c>
      <c r="E1192" s="732">
        <f t="shared" si="111"/>
        <v>512429.01694915252</v>
      </c>
      <c r="F1192" s="732">
        <f t="shared" si="104"/>
        <v>427024.18079100555</v>
      </c>
      <c r="G1192" s="676">
        <f t="shared" si="105"/>
        <v>683238.68926558178</v>
      </c>
      <c r="H1192" s="726">
        <f>+J1129*G1192+E1192</f>
        <v>586154.83024912758</v>
      </c>
      <c r="I1192" s="733">
        <f>+J1130*G1192+E1192</f>
        <v>586154.83024912758</v>
      </c>
      <c r="J1192" s="729">
        <f t="shared" si="106"/>
        <v>0</v>
      </c>
      <c r="K1192" s="729"/>
      <c r="L1192" s="734"/>
      <c r="M1192" s="729">
        <f t="shared" si="107"/>
        <v>0</v>
      </c>
      <c r="N1192" s="734"/>
      <c r="O1192" s="729">
        <f t="shared" si="108"/>
        <v>0</v>
      </c>
      <c r="P1192" s="729">
        <f t="shared" si="109"/>
        <v>0</v>
      </c>
      <c r="Q1192" s="677"/>
    </row>
    <row r="1193" spans="2:17" ht="13.5" thickBot="1">
      <c r="B1193" s="334"/>
      <c r="C1193" s="737">
        <f>IF(D1128="","-",+C1192+1)</f>
        <v>2077</v>
      </c>
      <c r="D1193" s="738">
        <f t="shared" si="110"/>
        <v>427024.18079100555</v>
      </c>
      <c r="E1193" s="739">
        <f t="shared" si="111"/>
        <v>427024.18079100555</v>
      </c>
      <c r="F1193" s="739">
        <f t="shared" si="104"/>
        <v>0</v>
      </c>
      <c r="G1193" s="738">
        <f t="shared" si="105"/>
        <v>213512.09039550278</v>
      </c>
      <c r="H1193" s="740">
        <f>+J1129*G1193+E1193</f>
        <v>450063.49744724866</v>
      </c>
      <c r="I1193" s="740">
        <f>+J1130*G1193+E1193</f>
        <v>450063.49744724866</v>
      </c>
      <c r="J1193" s="741">
        <f t="shared" si="106"/>
        <v>0</v>
      </c>
      <c r="K1193" s="729"/>
      <c r="L1193" s="742"/>
      <c r="M1193" s="741">
        <f t="shared" si="107"/>
        <v>0</v>
      </c>
      <c r="N1193" s="742"/>
      <c r="O1193" s="741">
        <f t="shared" si="108"/>
        <v>0</v>
      </c>
      <c r="P1193" s="741">
        <f t="shared" si="109"/>
        <v>0</v>
      </c>
      <c r="Q1193" s="677"/>
    </row>
    <row r="1194" spans="2:17">
      <c r="B1194" s="334"/>
      <c r="C1194" s="676" t="s">
        <v>289</v>
      </c>
      <c r="D1194" s="672"/>
      <c r="E1194" s="672">
        <f>SUM(E1134:E1193)</f>
        <v>30233312</v>
      </c>
      <c r="F1194" s="672"/>
      <c r="G1194" s="672"/>
      <c r="H1194" s="672">
        <f>SUM(H1134:H1193)</f>
        <v>129191784.90188524</v>
      </c>
      <c r="I1194" s="672">
        <f>SUM(I1134:I1193)</f>
        <v>129191784.90188524</v>
      </c>
      <c r="J1194" s="672">
        <f>SUM(J1134:J1193)</f>
        <v>0</v>
      </c>
      <c r="K1194" s="672"/>
      <c r="L1194" s="672"/>
      <c r="M1194" s="672"/>
      <c r="N1194" s="672"/>
      <c r="O1194" s="672"/>
      <c r="Q1194" s="672"/>
    </row>
    <row r="1195" spans="2:17">
      <c r="B1195" s="334"/>
      <c r="D1195" s="566"/>
      <c r="E1195" s="543"/>
      <c r="F1195" s="543"/>
      <c r="G1195" s="543"/>
      <c r="H1195" s="543"/>
      <c r="I1195" s="649"/>
      <c r="J1195" s="649"/>
      <c r="K1195" s="672"/>
      <c r="L1195" s="649"/>
      <c r="M1195" s="649"/>
      <c r="N1195" s="649"/>
      <c r="O1195" s="649"/>
      <c r="Q1195" s="672"/>
    </row>
    <row r="1196" spans="2:17">
      <c r="B1196" s="334"/>
      <c r="C1196" s="543" t="s">
        <v>602</v>
      </c>
      <c r="D1196" s="566"/>
      <c r="E1196" s="543"/>
      <c r="F1196" s="543"/>
      <c r="G1196" s="543"/>
      <c r="H1196" s="543"/>
      <c r="I1196" s="649"/>
      <c r="J1196" s="649"/>
      <c r="K1196" s="672"/>
      <c r="L1196" s="649"/>
      <c r="M1196" s="649"/>
      <c r="N1196" s="649"/>
      <c r="O1196" s="649"/>
      <c r="Q1196" s="672"/>
    </row>
    <row r="1197" spans="2:17">
      <c r="B1197" s="334"/>
      <c r="D1197" s="566"/>
      <c r="E1197" s="543"/>
      <c r="F1197" s="543"/>
      <c r="G1197" s="543"/>
      <c r="H1197" s="543"/>
      <c r="I1197" s="649"/>
      <c r="J1197" s="649"/>
      <c r="K1197" s="672"/>
      <c r="L1197" s="649"/>
      <c r="M1197" s="649"/>
      <c r="N1197" s="649"/>
      <c r="O1197" s="649"/>
      <c r="Q1197" s="672"/>
    </row>
    <row r="1198" spans="2:17">
      <c r="B1198" s="334"/>
      <c r="C1198" s="579" t="s">
        <v>603</v>
      </c>
      <c r="D1198" s="676"/>
      <c r="E1198" s="676"/>
      <c r="F1198" s="676"/>
      <c r="G1198" s="676"/>
      <c r="H1198" s="672"/>
      <c r="I1198" s="672"/>
      <c r="J1198" s="677"/>
      <c r="K1198" s="677"/>
      <c r="L1198" s="677"/>
      <c r="M1198" s="677"/>
      <c r="N1198" s="677"/>
      <c r="O1198" s="677"/>
      <c r="Q1198" s="677"/>
    </row>
    <row r="1199" spans="2:17">
      <c r="B1199" s="334"/>
      <c r="C1199" s="579" t="s">
        <v>477</v>
      </c>
      <c r="D1199" s="676"/>
      <c r="E1199" s="676"/>
      <c r="F1199" s="676"/>
      <c r="G1199" s="676"/>
      <c r="H1199" s="672"/>
      <c r="I1199" s="672"/>
      <c r="J1199" s="677"/>
      <c r="K1199" s="677"/>
      <c r="L1199" s="677"/>
      <c r="M1199" s="677"/>
      <c r="N1199" s="677"/>
      <c r="O1199" s="677"/>
      <c r="Q1199" s="677"/>
    </row>
    <row r="1200" spans="2:17">
      <c r="B1200" s="334"/>
      <c r="C1200" s="579" t="s">
        <v>290</v>
      </c>
      <c r="D1200" s="676"/>
      <c r="E1200" s="676"/>
      <c r="F1200" s="676"/>
      <c r="G1200" s="676"/>
      <c r="H1200" s="672"/>
      <c r="I1200" s="672"/>
      <c r="J1200" s="677"/>
      <c r="K1200" s="677"/>
      <c r="L1200" s="677"/>
      <c r="M1200" s="677"/>
      <c r="N1200" s="677"/>
      <c r="O1200" s="677"/>
      <c r="Q1200" s="677"/>
    </row>
    <row r="1201" spans="1:17">
      <c r="B1201" s="334"/>
      <c r="C1201" s="579"/>
      <c r="D1201" s="676"/>
      <c r="E1201" s="676"/>
      <c r="F1201" s="676"/>
      <c r="G1201" s="676"/>
      <c r="H1201" s="672"/>
      <c r="I1201" s="672"/>
      <c r="J1201" s="677"/>
      <c r="K1201" s="677"/>
      <c r="L1201" s="677"/>
      <c r="M1201" s="677"/>
      <c r="N1201" s="677"/>
      <c r="O1201" s="677"/>
      <c r="Q1201" s="677"/>
    </row>
    <row r="1202" spans="1:17" ht="20.25">
      <c r="A1202" s="678" t="s">
        <v>780</v>
      </c>
      <c r="B1202" s="543"/>
      <c r="C1202" s="658"/>
      <c r="D1202" s="566"/>
      <c r="E1202" s="543"/>
      <c r="F1202" s="648"/>
      <c r="G1202" s="648"/>
      <c r="H1202" s="543"/>
      <c r="I1202" s="649"/>
      <c r="L1202" s="679"/>
      <c r="M1202" s="679"/>
      <c r="N1202" s="679"/>
      <c r="O1202" s="594" t="str">
        <f>"Page "&amp;SUM(Q$3:Q1202)&amp;" of "</f>
        <v xml:space="preserve">Page 15 of </v>
      </c>
      <c r="P1202" s="595">
        <f>COUNT(Q$8:Q$58123)</f>
        <v>15</v>
      </c>
      <c r="Q1202" s="763">
        <v>1</v>
      </c>
    </row>
    <row r="1203" spans="1:17">
      <c r="B1203" s="543"/>
      <c r="C1203" s="543"/>
      <c r="D1203" s="566"/>
      <c r="E1203" s="543"/>
      <c r="F1203" s="543"/>
      <c r="G1203" s="543"/>
      <c r="H1203" s="543"/>
      <c r="I1203" s="649"/>
      <c r="J1203" s="543"/>
      <c r="K1203" s="591"/>
      <c r="Q1203" s="591"/>
    </row>
    <row r="1204" spans="1:17" ht="18">
      <c r="B1204" s="598" t="s">
        <v>175</v>
      </c>
      <c r="C1204" s="680" t="s">
        <v>291</v>
      </c>
      <c r="D1204" s="566"/>
      <c r="E1204" s="543"/>
      <c r="F1204" s="543"/>
      <c r="G1204" s="543"/>
      <c r="H1204" s="543"/>
      <c r="I1204" s="649"/>
      <c r="J1204" s="649"/>
      <c r="K1204" s="672"/>
      <c r="L1204" s="649"/>
      <c r="M1204" s="649"/>
      <c r="N1204" s="649"/>
      <c r="O1204" s="649"/>
      <c r="Q1204" s="672"/>
    </row>
    <row r="1205" spans="1:17" ht="18.75">
      <c r="B1205" s="598"/>
      <c r="C1205" s="597"/>
      <c r="D1205" s="566"/>
      <c r="E1205" s="543"/>
      <c r="F1205" s="543"/>
      <c r="G1205" s="543"/>
      <c r="H1205" s="543"/>
      <c r="I1205" s="649"/>
      <c r="J1205" s="649"/>
      <c r="K1205" s="672"/>
      <c r="L1205" s="649"/>
      <c r="M1205" s="649"/>
      <c r="N1205" s="649"/>
      <c r="O1205" s="649"/>
      <c r="Q1205" s="672"/>
    </row>
    <row r="1206" spans="1:17" ht="18.75">
      <c r="B1206" s="598"/>
      <c r="C1206" s="597" t="s">
        <v>292</v>
      </c>
      <c r="D1206" s="566"/>
      <c r="E1206" s="543"/>
      <c r="F1206" s="543"/>
      <c r="G1206" s="543"/>
      <c r="H1206" s="543"/>
      <c r="I1206" s="649"/>
      <c r="J1206" s="649"/>
      <c r="K1206" s="672"/>
      <c r="L1206" s="649"/>
      <c r="M1206" s="649"/>
      <c r="N1206" s="649"/>
      <c r="O1206" s="649"/>
      <c r="Q1206" s="672"/>
    </row>
    <row r="1207" spans="1:17" ht="15.75" thickBot="1">
      <c r="B1207" s="334"/>
      <c r="C1207" s="400"/>
      <c r="D1207" s="566"/>
      <c r="E1207" s="543"/>
      <c r="F1207" s="543"/>
      <c r="G1207" s="543"/>
      <c r="H1207" s="543"/>
      <c r="I1207" s="649"/>
      <c r="J1207" s="649"/>
      <c r="K1207" s="672"/>
      <c r="L1207" s="649"/>
      <c r="M1207" s="649"/>
      <c r="N1207" s="649"/>
      <c r="O1207" s="649"/>
      <c r="Q1207" s="672"/>
    </row>
    <row r="1208" spans="1:17" ht="15.75">
      <c r="B1208" s="334"/>
      <c r="C1208" s="599" t="s">
        <v>293</v>
      </c>
      <c r="D1208" s="566"/>
      <c r="E1208" s="543"/>
      <c r="F1208" s="543"/>
      <c r="G1208" s="543"/>
      <c r="H1208" s="874"/>
      <c r="I1208" s="543" t="s">
        <v>272</v>
      </c>
      <c r="J1208" s="543"/>
      <c r="K1208" s="591"/>
      <c r="L1208" s="764">
        <f>+J1214</f>
        <v>2018</v>
      </c>
      <c r="M1208" s="746" t="s">
        <v>255</v>
      </c>
      <c r="N1208" s="746" t="s">
        <v>256</v>
      </c>
      <c r="O1208" s="747" t="s">
        <v>257</v>
      </c>
      <c r="Q1208" s="591"/>
    </row>
    <row r="1209" spans="1:17" ht="15.75">
      <c r="B1209" s="334"/>
      <c r="C1209" s="599"/>
      <c r="D1209" s="566"/>
      <c r="E1209" s="543"/>
      <c r="F1209" s="543"/>
      <c r="H1209" s="543"/>
      <c r="I1209" s="684"/>
      <c r="J1209" s="684"/>
      <c r="K1209" s="685"/>
      <c r="L1209" s="765" t="s">
        <v>456</v>
      </c>
      <c r="M1209" s="766">
        <f>VLOOKUP(J1214,C1221:P1280,10)</f>
        <v>0</v>
      </c>
      <c r="N1209" s="766">
        <f>VLOOKUP(J1214,C1221:P1280,12)</f>
        <v>0</v>
      </c>
      <c r="O1209" s="767">
        <f>+N1209-M1209</f>
        <v>0</v>
      </c>
      <c r="Q1209" s="685"/>
    </row>
    <row r="1210" spans="1:17">
      <c r="B1210" s="334"/>
      <c r="C1210" s="687" t="s">
        <v>294</v>
      </c>
      <c r="D1210" s="1434" t="s">
        <v>1028</v>
      </c>
      <c r="E1210" s="1434"/>
      <c r="F1210" s="1434"/>
      <c r="G1210" s="1434"/>
      <c r="H1210" s="1434"/>
      <c r="I1210" s="649"/>
      <c r="J1210" s="649"/>
      <c r="K1210" s="672"/>
      <c r="L1210" s="765" t="s">
        <v>457</v>
      </c>
      <c r="M1210" s="768">
        <f>VLOOKUP(J1214,C1221:P1280,6)</f>
        <v>87480.653291651935</v>
      </c>
      <c r="N1210" s="768">
        <f>VLOOKUP(J1214,C1221:P1280,7)</f>
        <v>87480.653291651935</v>
      </c>
      <c r="O1210" s="769">
        <f>+N1210-M1210</f>
        <v>0</v>
      </c>
      <c r="Q1210" s="672"/>
    </row>
    <row r="1211" spans="1:17" ht="13.5" thickBot="1">
      <c r="B1211" s="334"/>
      <c r="C1211" s="689"/>
      <c r="D1211" s="690"/>
      <c r="E1211" s="674"/>
      <c r="F1211" s="674"/>
      <c r="G1211" s="674"/>
      <c r="H1211" s="691"/>
      <c r="I1211" s="649"/>
      <c r="J1211" s="649"/>
      <c r="K1211" s="672"/>
      <c r="L1211" s="710" t="s">
        <v>458</v>
      </c>
      <c r="M1211" s="770">
        <f>+M1210-M1209</f>
        <v>87480.653291651935</v>
      </c>
      <c r="N1211" s="770">
        <f>+N1210-N1209</f>
        <v>87480.653291651935</v>
      </c>
      <c r="O1211" s="771">
        <f>+O1210-O1209</f>
        <v>0</v>
      </c>
      <c r="Q1211" s="672"/>
    </row>
    <row r="1212" spans="1:17" ht="13.5" thickBot="1">
      <c r="B1212" s="334"/>
      <c r="C1212" s="692"/>
      <c r="D1212" s="693"/>
      <c r="E1212" s="691"/>
      <c r="F1212" s="691"/>
      <c r="G1212" s="691"/>
      <c r="H1212" s="691"/>
      <c r="I1212" s="691"/>
      <c r="J1212" s="691"/>
      <c r="K1212" s="694"/>
      <c r="L1212" s="691"/>
      <c r="M1212" s="691"/>
      <c r="N1212" s="691"/>
      <c r="O1212" s="691"/>
      <c r="P1212" s="579"/>
      <c r="Q1212" s="694"/>
    </row>
    <row r="1213" spans="1:17" ht="13.5" thickBot="1">
      <c r="B1213" s="334"/>
      <c r="C1213" s="696" t="s">
        <v>295</v>
      </c>
      <c r="D1213" s="697"/>
      <c r="E1213" s="697"/>
      <c r="F1213" s="697"/>
      <c r="G1213" s="697"/>
      <c r="H1213" s="697"/>
      <c r="I1213" s="697"/>
      <c r="J1213" s="697"/>
      <c r="K1213" s="699"/>
      <c r="P1213" s="700"/>
      <c r="Q1213" s="699"/>
    </row>
    <row r="1214" spans="1:17" ht="15">
      <c r="A1214" s="695"/>
      <c r="B1214" s="334"/>
      <c r="C1214" s="702" t="s">
        <v>273</v>
      </c>
      <c r="D1214" s="1268">
        <v>705824.57</v>
      </c>
      <c r="E1214" s="658" t="s">
        <v>274</v>
      </c>
      <c r="H1214" s="703"/>
      <c r="I1214" s="703"/>
      <c r="J1214" s="704">
        <v>2018</v>
      </c>
      <c r="K1214" s="589"/>
      <c r="L1214" s="1445" t="s">
        <v>275</v>
      </c>
      <c r="M1214" s="1445"/>
      <c r="N1214" s="1445"/>
      <c r="O1214" s="1445"/>
      <c r="P1214" s="591"/>
      <c r="Q1214" s="589"/>
    </row>
    <row r="1215" spans="1:17">
      <c r="A1215" s="695"/>
      <c r="B1215" s="334"/>
      <c r="C1215" s="702" t="s">
        <v>276</v>
      </c>
      <c r="D1215" s="876">
        <v>2017</v>
      </c>
      <c r="E1215" s="702" t="s">
        <v>277</v>
      </c>
      <c r="F1215" s="703"/>
      <c r="G1215" s="703"/>
      <c r="I1215" s="334"/>
      <c r="J1215" s="879">
        <v>0</v>
      </c>
      <c r="K1215" s="705"/>
      <c r="L1215" s="672" t="s">
        <v>476</v>
      </c>
      <c r="P1215" s="591"/>
      <c r="Q1215" s="705"/>
    </row>
    <row r="1216" spans="1:17">
      <c r="A1216" s="695"/>
      <c r="B1216" s="334"/>
      <c r="C1216" s="702" t="s">
        <v>278</v>
      </c>
      <c r="D1216" s="1269">
        <v>12</v>
      </c>
      <c r="E1216" s="702" t="s">
        <v>279</v>
      </c>
      <c r="F1216" s="703"/>
      <c r="G1216" s="703"/>
      <c r="I1216" s="334"/>
      <c r="J1216" s="706">
        <f>$F$70</f>
        <v>0.10790637951024619</v>
      </c>
      <c r="K1216" s="707"/>
      <c r="L1216" s="543" t="str">
        <f>"          INPUT TRUE-UP ARR (WITH &amp; WITHOUT INCENTIVES) FROM EACH PRIOR YEAR"</f>
        <v xml:space="preserve">          INPUT TRUE-UP ARR (WITH &amp; WITHOUT INCENTIVES) FROM EACH PRIOR YEAR</v>
      </c>
      <c r="P1216" s="591"/>
      <c r="Q1216" s="707"/>
    </row>
    <row r="1217" spans="1:17">
      <c r="A1217" s="695"/>
      <c r="B1217" s="334"/>
      <c r="C1217" s="702" t="s">
        <v>280</v>
      </c>
      <c r="D1217" s="708">
        <f>H79</f>
        <v>59</v>
      </c>
      <c r="E1217" s="702" t="s">
        <v>281</v>
      </c>
      <c r="F1217" s="703"/>
      <c r="G1217" s="703"/>
      <c r="I1217" s="334"/>
      <c r="J1217" s="706">
        <f>IF(H1208="",J1216,$F$69)</f>
        <v>0.10790637951024619</v>
      </c>
      <c r="K1217" s="709"/>
      <c r="L1217" s="543" t="s">
        <v>363</v>
      </c>
      <c r="M1217" s="709"/>
      <c r="N1217" s="709"/>
      <c r="O1217" s="709"/>
      <c r="P1217" s="591"/>
      <c r="Q1217" s="709"/>
    </row>
    <row r="1218" spans="1:17" ht="13.5" thickBot="1">
      <c r="A1218" s="695"/>
      <c r="B1218" s="334"/>
      <c r="C1218" s="702" t="s">
        <v>282</v>
      </c>
      <c r="D1218" s="878" t="s">
        <v>995</v>
      </c>
      <c r="E1218" s="710" t="s">
        <v>283</v>
      </c>
      <c r="F1218" s="711"/>
      <c r="G1218" s="711"/>
      <c r="H1218" s="712"/>
      <c r="I1218" s="712"/>
      <c r="J1218" s="688">
        <f>IF(D1214=0,0,D1214/D1217)</f>
        <v>11963.128305084745</v>
      </c>
      <c r="K1218" s="672"/>
      <c r="L1218" s="672" t="s">
        <v>364</v>
      </c>
      <c r="M1218" s="672"/>
      <c r="N1218" s="672"/>
      <c r="O1218" s="672"/>
      <c r="P1218" s="591"/>
      <c r="Q1218" s="672"/>
    </row>
    <row r="1219" spans="1:17" ht="38.25">
      <c r="A1219" s="530"/>
      <c r="B1219" s="530"/>
      <c r="C1219" s="713" t="s">
        <v>273</v>
      </c>
      <c r="D1219" s="714" t="s">
        <v>284</v>
      </c>
      <c r="E1219" s="715" t="s">
        <v>285</v>
      </c>
      <c r="F1219" s="714" t="s">
        <v>286</v>
      </c>
      <c r="G1219" s="714" t="s">
        <v>459</v>
      </c>
      <c r="H1219" s="715" t="s">
        <v>357</v>
      </c>
      <c r="I1219" s="716" t="s">
        <v>357</v>
      </c>
      <c r="J1219" s="713" t="s">
        <v>296</v>
      </c>
      <c r="K1219" s="717"/>
      <c r="L1219" s="715" t="s">
        <v>359</v>
      </c>
      <c r="M1219" s="715" t="s">
        <v>365</v>
      </c>
      <c r="N1219" s="715" t="s">
        <v>359</v>
      </c>
      <c r="O1219" s="715" t="s">
        <v>367</v>
      </c>
      <c r="P1219" s="715" t="s">
        <v>287</v>
      </c>
      <c r="Q1219" s="718"/>
    </row>
    <row r="1220" spans="1:17" ht="13.5" thickBot="1">
      <c r="B1220" s="334"/>
      <c r="C1220" s="719" t="s">
        <v>178</v>
      </c>
      <c r="D1220" s="720" t="s">
        <v>179</v>
      </c>
      <c r="E1220" s="719" t="s">
        <v>37</v>
      </c>
      <c r="F1220" s="720" t="s">
        <v>179</v>
      </c>
      <c r="G1220" s="720" t="s">
        <v>179</v>
      </c>
      <c r="H1220" s="721" t="s">
        <v>299</v>
      </c>
      <c r="I1220" s="722" t="s">
        <v>301</v>
      </c>
      <c r="J1220" s="723" t="s">
        <v>390</v>
      </c>
      <c r="K1220" s="724"/>
      <c r="L1220" s="721" t="s">
        <v>288</v>
      </c>
      <c r="M1220" s="721" t="s">
        <v>288</v>
      </c>
      <c r="N1220" s="721" t="s">
        <v>468</v>
      </c>
      <c r="O1220" s="721" t="s">
        <v>468</v>
      </c>
      <c r="P1220" s="721" t="s">
        <v>468</v>
      </c>
      <c r="Q1220" s="589"/>
    </row>
    <row r="1221" spans="1:17">
      <c r="B1221" s="334"/>
      <c r="C1221" s="725">
        <f>IF(D1215= "","-",D1215)</f>
        <v>2017</v>
      </c>
      <c r="D1221" s="1282">
        <f>+D1214</f>
        <v>705824.57</v>
      </c>
      <c r="E1221" s="726">
        <f>+J1218/12*(12-D1216)</f>
        <v>0</v>
      </c>
      <c r="F1221" s="772">
        <f t="shared" ref="F1221:F1280" si="112">+D1221-E1221</f>
        <v>705824.57</v>
      </c>
      <c r="G1221" s="676">
        <f t="shared" ref="G1221:G1280" si="113">+(D1221+F1221)/2</f>
        <v>705824.57</v>
      </c>
      <c r="H1221" s="727">
        <f>+J1216*G1221+E1221</f>
        <v>76162.973918076328</v>
      </c>
      <c r="I1221" s="728">
        <f>+J1217*G1221+E1221</f>
        <v>76162.973918076328</v>
      </c>
      <c r="J1221" s="729">
        <f t="shared" ref="J1221:J1280" si="114">+I1221-H1221</f>
        <v>0</v>
      </c>
      <c r="K1221" s="729"/>
      <c r="L1221" s="730">
        <v>0</v>
      </c>
      <c r="M1221" s="773">
        <f t="shared" ref="M1221:M1280" si="115">IF(L1221&lt;&gt;0,+H1221-L1221,0)</f>
        <v>0</v>
      </c>
      <c r="N1221" s="730">
        <v>0</v>
      </c>
      <c r="O1221" s="773">
        <f t="shared" ref="O1221:O1280" si="116">IF(N1221&lt;&gt;0,+I1221-N1221,0)</f>
        <v>0</v>
      </c>
      <c r="P1221" s="773">
        <f t="shared" ref="P1221:P1280" si="117">+O1221-M1221</f>
        <v>0</v>
      </c>
      <c r="Q1221" s="677"/>
    </row>
    <row r="1222" spans="1:17">
      <c r="B1222" s="334"/>
      <c r="C1222" s="725">
        <f>IF(D1215="","-",+C1221+1)</f>
        <v>2018</v>
      </c>
      <c r="D1222" s="1311">
        <f t="shared" ref="D1222:D1280" si="118">F1221</f>
        <v>705824.57</v>
      </c>
      <c r="E1222" s="732">
        <f>IF(D1222&gt;$J$1218,$J$1218,D1222)</f>
        <v>11963.128305084745</v>
      </c>
      <c r="F1222" s="732">
        <f t="shared" si="112"/>
        <v>693861.44169491518</v>
      </c>
      <c r="G1222" s="676">
        <f t="shared" si="113"/>
        <v>699843.00584745756</v>
      </c>
      <c r="H1222" s="726">
        <f>+J1216*G1222+E1222</f>
        <v>87480.653291651935</v>
      </c>
      <c r="I1222" s="733">
        <f>+J1217*G1222+E1222</f>
        <v>87480.653291651935</v>
      </c>
      <c r="J1222" s="729">
        <f t="shared" si="114"/>
        <v>0</v>
      </c>
      <c r="K1222" s="729"/>
      <c r="L1222" s="734">
        <v>0</v>
      </c>
      <c r="M1222" s="729">
        <f t="shared" si="115"/>
        <v>0</v>
      </c>
      <c r="N1222" s="734">
        <v>0</v>
      </c>
      <c r="O1222" s="729">
        <f t="shared" si="116"/>
        <v>0</v>
      </c>
      <c r="P1222" s="729">
        <f t="shared" si="117"/>
        <v>0</v>
      </c>
      <c r="Q1222" s="677"/>
    </row>
    <row r="1223" spans="1:17">
      <c r="B1223" s="334"/>
      <c r="C1223" s="725">
        <f>IF(D1215="","-",+C1222+1)</f>
        <v>2019</v>
      </c>
      <c r="D1223" s="1282">
        <f t="shared" si="118"/>
        <v>693861.44169491518</v>
      </c>
      <c r="E1223" s="732">
        <f t="shared" ref="E1223:E1280" si="119">IF(D1223&gt;$J$1218,$J$1218,D1223)</f>
        <v>11963.128305084745</v>
      </c>
      <c r="F1223" s="732">
        <f t="shared" si="112"/>
        <v>681898.31338983041</v>
      </c>
      <c r="G1223" s="676">
        <f t="shared" si="113"/>
        <v>687879.87754237279</v>
      </c>
      <c r="H1223" s="726">
        <f>+J1216*G1223+E1223</f>
        <v>86189.755428633696</v>
      </c>
      <c r="I1223" s="733">
        <f>+J1217*G1223+E1223</f>
        <v>86189.755428633696</v>
      </c>
      <c r="J1223" s="729">
        <f t="shared" si="114"/>
        <v>0</v>
      </c>
      <c r="K1223" s="729"/>
      <c r="L1223" s="734">
        <v>0</v>
      </c>
      <c r="M1223" s="729">
        <f t="shared" si="115"/>
        <v>0</v>
      </c>
      <c r="N1223" s="734">
        <v>0</v>
      </c>
      <c r="O1223" s="729">
        <f t="shared" si="116"/>
        <v>0</v>
      </c>
      <c r="P1223" s="729">
        <f t="shared" si="117"/>
        <v>0</v>
      </c>
      <c r="Q1223" s="677"/>
    </row>
    <row r="1224" spans="1:17">
      <c r="B1224" s="334"/>
      <c r="C1224" s="725">
        <f>IF(D1215="","-",+C1223+1)</f>
        <v>2020</v>
      </c>
      <c r="D1224" s="1282">
        <f t="shared" si="118"/>
        <v>681898.31338983041</v>
      </c>
      <c r="E1224" s="732">
        <f t="shared" si="119"/>
        <v>11963.128305084745</v>
      </c>
      <c r="F1224" s="732">
        <f t="shared" si="112"/>
        <v>669935.18508474564</v>
      </c>
      <c r="G1224" s="676">
        <f t="shared" si="113"/>
        <v>675916.74923728802</v>
      </c>
      <c r="H1224" s="726">
        <f>+J1216*G1224+E1224</f>
        <v>84898.857565615443</v>
      </c>
      <c r="I1224" s="733">
        <f>+J1217*G1224+E1224</f>
        <v>84898.857565615443</v>
      </c>
      <c r="J1224" s="729">
        <f t="shared" si="114"/>
        <v>0</v>
      </c>
      <c r="K1224" s="729"/>
      <c r="L1224" s="734">
        <v>0</v>
      </c>
      <c r="M1224" s="729">
        <f t="shared" si="115"/>
        <v>0</v>
      </c>
      <c r="N1224" s="734">
        <v>0</v>
      </c>
      <c r="O1224" s="729">
        <f t="shared" si="116"/>
        <v>0</v>
      </c>
      <c r="P1224" s="729">
        <f t="shared" si="117"/>
        <v>0</v>
      </c>
      <c r="Q1224" s="677"/>
    </row>
    <row r="1225" spans="1:17">
      <c r="B1225" s="334"/>
      <c r="C1225" s="725">
        <f>IF(D1215="","-",+C1224+1)</f>
        <v>2021</v>
      </c>
      <c r="D1225" s="1282">
        <f t="shared" si="118"/>
        <v>669935.18508474564</v>
      </c>
      <c r="E1225" s="732">
        <f t="shared" si="119"/>
        <v>11963.128305084745</v>
      </c>
      <c r="F1225" s="732">
        <f t="shared" si="112"/>
        <v>657972.05677966087</v>
      </c>
      <c r="G1225" s="676">
        <f t="shared" si="113"/>
        <v>663953.62093220325</v>
      </c>
      <c r="H1225" s="726">
        <f>+J1216*G1225+E1225</f>
        <v>83607.959702597203</v>
      </c>
      <c r="I1225" s="733">
        <f>+J1217*G1225+E1225</f>
        <v>83607.959702597203</v>
      </c>
      <c r="J1225" s="729">
        <f t="shared" si="114"/>
        <v>0</v>
      </c>
      <c r="K1225" s="729"/>
      <c r="L1225" s="734">
        <v>0</v>
      </c>
      <c r="M1225" s="729">
        <f t="shared" si="115"/>
        <v>0</v>
      </c>
      <c r="N1225" s="734">
        <v>0</v>
      </c>
      <c r="O1225" s="729">
        <f t="shared" si="116"/>
        <v>0</v>
      </c>
      <c r="P1225" s="729">
        <f t="shared" si="117"/>
        <v>0</v>
      </c>
      <c r="Q1225" s="677"/>
    </row>
    <row r="1226" spans="1:17">
      <c r="B1226" s="334"/>
      <c r="C1226" s="725">
        <f>IF(D1215="","-",+C1225+1)</f>
        <v>2022</v>
      </c>
      <c r="D1226" s="676">
        <f t="shared" si="118"/>
        <v>657972.05677966087</v>
      </c>
      <c r="E1226" s="732">
        <f t="shared" si="119"/>
        <v>11963.128305084745</v>
      </c>
      <c r="F1226" s="732">
        <f t="shared" si="112"/>
        <v>646008.9284745761</v>
      </c>
      <c r="G1226" s="676">
        <f t="shared" si="113"/>
        <v>651990.49262711848</v>
      </c>
      <c r="H1226" s="726">
        <f>+J1216*G1226+E1226</f>
        <v>82317.061839578964</v>
      </c>
      <c r="I1226" s="733">
        <f>+J1217*G1226+E1226</f>
        <v>82317.061839578964</v>
      </c>
      <c r="J1226" s="729">
        <f t="shared" si="114"/>
        <v>0</v>
      </c>
      <c r="K1226" s="729"/>
      <c r="L1226" s="734">
        <v>0</v>
      </c>
      <c r="M1226" s="729">
        <f t="shared" si="115"/>
        <v>0</v>
      </c>
      <c r="N1226" s="734">
        <v>0</v>
      </c>
      <c r="O1226" s="729">
        <f t="shared" si="116"/>
        <v>0</v>
      </c>
      <c r="P1226" s="729">
        <f t="shared" si="117"/>
        <v>0</v>
      </c>
      <c r="Q1226" s="677"/>
    </row>
    <row r="1227" spans="1:17">
      <c r="B1227" s="334"/>
      <c r="C1227" s="725">
        <f>IF(D1215="","-",+C1226+1)</f>
        <v>2023</v>
      </c>
      <c r="D1227" s="676">
        <f t="shared" si="118"/>
        <v>646008.9284745761</v>
      </c>
      <c r="E1227" s="732">
        <f t="shared" si="119"/>
        <v>11963.128305084745</v>
      </c>
      <c r="F1227" s="732">
        <f t="shared" si="112"/>
        <v>634045.80016949133</v>
      </c>
      <c r="G1227" s="676">
        <f t="shared" si="113"/>
        <v>640027.36432203371</v>
      </c>
      <c r="H1227" s="726">
        <f>+J1216*G1227+E1227</f>
        <v>81026.163976560711</v>
      </c>
      <c r="I1227" s="733">
        <f>+J1217*G1227+E1227</f>
        <v>81026.163976560711</v>
      </c>
      <c r="J1227" s="729">
        <f t="shared" si="114"/>
        <v>0</v>
      </c>
      <c r="K1227" s="729"/>
      <c r="L1227" s="734">
        <v>0</v>
      </c>
      <c r="M1227" s="729">
        <f t="shared" si="115"/>
        <v>0</v>
      </c>
      <c r="N1227" s="734">
        <v>0</v>
      </c>
      <c r="O1227" s="729">
        <f t="shared" si="116"/>
        <v>0</v>
      </c>
      <c r="P1227" s="729">
        <f t="shared" si="117"/>
        <v>0</v>
      </c>
      <c r="Q1227" s="677"/>
    </row>
    <row r="1228" spans="1:17">
      <c r="B1228" s="334"/>
      <c r="C1228" s="725">
        <f>IF(D1215="","-",+C1227+1)</f>
        <v>2024</v>
      </c>
      <c r="D1228" s="676">
        <f t="shared" si="118"/>
        <v>634045.80016949133</v>
      </c>
      <c r="E1228" s="732">
        <f t="shared" si="119"/>
        <v>11963.128305084745</v>
      </c>
      <c r="F1228" s="732">
        <f t="shared" si="112"/>
        <v>622082.67186440655</v>
      </c>
      <c r="G1228" s="676">
        <f t="shared" si="113"/>
        <v>628064.23601694894</v>
      </c>
      <c r="H1228" s="726">
        <f>+J1216*G1228+E1228</f>
        <v>79735.266113542471</v>
      </c>
      <c r="I1228" s="733">
        <f>+J1217*G1228+E1228</f>
        <v>79735.266113542471</v>
      </c>
      <c r="J1228" s="729">
        <f t="shared" si="114"/>
        <v>0</v>
      </c>
      <c r="K1228" s="729"/>
      <c r="L1228" s="734">
        <v>0</v>
      </c>
      <c r="M1228" s="729">
        <f t="shared" si="115"/>
        <v>0</v>
      </c>
      <c r="N1228" s="734">
        <v>0</v>
      </c>
      <c r="O1228" s="729">
        <f t="shared" si="116"/>
        <v>0</v>
      </c>
      <c r="P1228" s="729">
        <f t="shared" si="117"/>
        <v>0</v>
      </c>
      <c r="Q1228" s="677"/>
    </row>
    <row r="1229" spans="1:17">
      <c r="B1229" s="334"/>
      <c r="C1229" s="725">
        <f>IF(D1215="","-",+C1228+1)</f>
        <v>2025</v>
      </c>
      <c r="D1229" s="676">
        <f t="shared" si="118"/>
        <v>622082.67186440655</v>
      </c>
      <c r="E1229" s="732">
        <f t="shared" si="119"/>
        <v>11963.128305084745</v>
      </c>
      <c r="F1229" s="732">
        <f t="shared" si="112"/>
        <v>610119.54355932178</v>
      </c>
      <c r="G1229" s="676">
        <f t="shared" si="113"/>
        <v>616101.10771186417</v>
      </c>
      <c r="H1229" s="726">
        <f>+J1216*G1229+E1229</f>
        <v>78444.368250524218</v>
      </c>
      <c r="I1229" s="733">
        <f>+J1217*G1229+E1229</f>
        <v>78444.368250524218</v>
      </c>
      <c r="J1229" s="729">
        <f t="shared" si="114"/>
        <v>0</v>
      </c>
      <c r="K1229" s="729"/>
      <c r="L1229" s="734">
        <v>0</v>
      </c>
      <c r="M1229" s="729">
        <f t="shared" si="115"/>
        <v>0</v>
      </c>
      <c r="N1229" s="734">
        <v>0</v>
      </c>
      <c r="O1229" s="729">
        <f t="shared" si="116"/>
        <v>0</v>
      </c>
      <c r="P1229" s="729">
        <f t="shared" si="117"/>
        <v>0</v>
      </c>
      <c r="Q1229" s="677"/>
    </row>
    <row r="1230" spans="1:17">
      <c r="B1230" s="334"/>
      <c r="C1230" s="725">
        <f>IF(D1215="","-",+C1229+1)</f>
        <v>2026</v>
      </c>
      <c r="D1230" s="676">
        <f t="shared" si="118"/>
        <v>610119.54355932178</v>
      </c>
      <c r="E1230" s="732">
        <f t="shared" si="119"/>
        <v>11963.128305084745</v>
      </c>
      <c r="F1230" s="732">
        <f t="shared" si="112"/>
        <v>598156.41525423701</v>
      </c>
      <c r="G1230" s="676">
        <f t="shared" si="113"/>
        <v>604137.9794067794</v>
      </c>
      <c r="H1230" s="726">
        <f>+J1216*G1230+E1230</f>
        <v>77153.470387505979</v>
      </c>
      <c r="I1230" s="733">
        <f>+J1217*G1230+E1230</f>
        <v>77153.470387505979</v>
      </c>
      <c r="J1230" s="729">
        <f t="shared" si="114"/>
        <v>0</v>
      </c>
      <c r="K1230" s="729"/>
      <c r="L1230" s="734">
        <v>0</v>
      </c>
      <c r="M1230" s="729">
        <f t="shared" si="115"/>
        <v>0</v>
      </c>
      <c r="N1230" s="734">
        <v>0</v>
      </c>
      <c r="O1230" s="729">
        <f t="shared" si="116"/>
        <v>0</v>
      </c>
      <c r="P1230" s="729">
        <f t="shared" si="117"/>
        <v>0</v>
      </c>
      <c r="Q1230" s="677"/>
    </row>
    <row r="1231" spans="1:17">
      <c r="B1231" s="334"/>
      <c r="C1231" s="725">
        <f>IF(D1215="","-",+C1230+1)</f>
        <v>2027</v>
      </c>
      <c r="D1231" s="676">
        <f t="shared" si="118"/>
        <v>598156.41525423701</v>
      </c>
      <c r="E1231" s="732">
        <f t="shared" si="119"/>
        <v>11963.128305084745</v>
      </c>
      <c r="F1231" s="732">
        <f t="shared" si="112"/>
        <v>586193.28694915224</v>
      </c>
      <c r="G1231" s="676">
        <f t="shared" si="113"/>
        <v>592174.85110169463</v>
      </c>
      <c r="H1231" s="726">
        <f>+J1216*G1231+E1231</f>
        <v>75862.572524487739</v>
      </c>
      <c r="I1231" s="733">
        <f>+J1217*G1231+E1231</f>
        <v>75862.572524487739</v>
      </c>
      <c r="J1231" s="729">
        <f t="shared" si="114"/>
        <v>0</v>
      </c>
      <c r="K1231" s="729"/>
      <c r="L1231" s="734">
        <v>0</v>
      </c>
      <c r="M1231" s="729">
        <f t="shared" si="115"/>
        <v>0</v>
      </c>
      <c r="N1231" s="734">
        <v>0</v>
      </c>
      <c r="O1231" s="729">
        <f t="shared" si="116"/>
        <v>0</v>
      </c>
      <c r="P1231" s="729">
        <f t="shared" si="117"/>
        <v>0</v>
      </c>
      <c r="Q1231" s="677"/>
    </row>
    <row r="1232" spans="1:17">
      <c r="B1232" s="334"/>
      <c r="C1232" s="725">
        <f>IF(D1215="","-",+C1231+1)</f>
        <v>2028</v>
      </c>
      <c r="D1232" s="676">
        <f t="shared" si="118"/>
        <v>586193.28694915224</v>
      </c>
      <c r="E1232" s="732">
        <f t="shared" si="119"/>
        <v>11963.128305084745</v>
      </c>
      <c r="F1232" s="732">
        <f t="shared" si="112"/>
        <v>574230.15864406747</v>
      </c>
      <c r="G1232" s="676">
        <f t="shared" si="113"/>
        <v>580211.72279660986</v>
      </c>
      <c r="H1232" s="726">
        <f>+J1216*G1232+E1232</f>
        <v>74571.674661469486</v>
      </c>
      <c r="I1232" s="733">
        <f>+J1217*G1232+E1232</f>
        <v>74571.674661469486</v>
      </c>
      <c r="J1232" s="729">
        <f t="shared" si="114"/>
        <v>0</v>
      </c>
      <c r="K1232" s="729"/>
      <c r="L1232" s="734"/>
      <c r="M1232" s="729">
        <f t="shared" si="115"/>
        <v>0</v>
      </c>
      <c r="N1232" s="734"/>
      <c r="O1232" s="729">
        <f t="shared" si="116"/>
        <v>0</v>
      </c>
      <c r="P1232" s="729">
        <f t="shared" si="117"/>
        <v>0</v>
      </c>
      <c r="Q1232" s="677"/>
    </row>
    <row r="1233" spans="2:17">
      <c r="B1233" s="334"/>
      <c r="C1233" s="725">
        <f>IF(D1215="","-",+C1232+1)</f>
        <v>2029</v>
      </c>
      <c r="D1233" s="676">
        <f t="shared" si="118"/>
        <v>574230.15864406747</v>
      </c>
      <c r="E1233" s="732">
        <f t="shared" si="119"/>
        <v>11963.128305084745</v>
      </c>
      <c r="F1233" s="732">
        <f t="shared" si="112"/>
        <v>562267.0303389827</v>
      </c>
      <c r="G1233" s="676">
        <f t="shared" si="113"/>
        <v>568248.59449152509</v>
      </c>
      <c r="H1233" s="726">
        <f>+J1216*G1233+E1233</f>
        <v>73280.776798451247</v>
      </c>
      <c r="I1233" s="733">
        <f>+J1217*G1233+E1233</f>
        <v>73280.776798451247</v>
      </c>
      <c r="J1233" s="729">
        <f t="shared" si="114"/>
        <v>0</v>
      </c>
      <c r="K1233" s="729"/>
      <c r="L1233" s="734"/>
      <c r="M1233" s="729">
        <f t="shared" si="115"/>
        <v>0</v>
      </c>
      <c r="N1233" s="734"/>
      <c r="O1233" s="729">
        <f t="shared" si="116"/>
        <v>0</v>
      </c>
      <c r="P1233" s="729">
        <f t="shared" si="117"/>
        <v>0</v>
      </c>
      <c r="Q1233" s="677"/>
    </row>
    <row r="1234" spans="2:17">
      <c r="B1234" s="334"/>
      <c r="C1234" s="725">
        <f>IF(D1215="","-",+C1233+1)</f>
        <v>2030</v>
      </c>
      <c r="D1234" s="676">
        <f t="shared" si="118"/>
        <v>562267.0303389827</v>
      </c>
      <c r="E1234" s="732">
        <f t="shared" si="119"/>
        <v>11963.128305084745</v>
      </c>
      <c r="F1234" s="732">
        <f t="shared" si="112"/>
        <v>550303.90203389793</v>
      </c>
      <c r="G1234" s="676">
        <f t="shared" si="113"/>
        <v>556285.46618644032</v>
      </c>
      <c r="H1234" s="726">
        <f>+J1216*G1234+E1234</f>
        <v>71989.878935432993</v>
      </c>
      <c r="I1234" s="733">
        <f>+J1217*G1234+E1234</f>
        <v>71989.878935432993</v>
      </c>
      <c r="J1234" s="729">
        <f t="shared" si="114"/>
        <v>0</v>
      </c>
      <c r="K1234" s="729"/>
      <c r="L1234" s="734"/>
      <c r="M1234" s="729">
        <f t="shared" si="115"/>
        <v>0</v>
      </c>
      <c r="N1234" s="734"/>
      <c r="O1234" s="729">
        <f t="shared" si="116"/>
        <v>0</v>
      </c>
      <c r="P1234" s="729">
        <f t="shared" si="117"/>
        <v>0</v>
      </c>
      <c r="Q1234" s="677"/>
    </row>
    <row r="1235" spans="2:17">
      <c r="B1235" s="334"/>
      <c r="C1235" s="725">
        <f>IF(D1215="","-",+C1234+1)</f>
        <v>2031</v>
      </c>
      <c r="D1235" s="676">
        <f t="shared" si="118"/>
        <v>550303.90203389793</v>
      </c>
      <c r="E1235" s="732">
        <f t="shared" si="119"/>
        <v>11963.128305084745</v>
      </c>
      <c r="F1235" s="732">
        <f t="shared" si="112"/>
        <v>538340.77372881316</v>
      </c>
      <c r="G1235" s="676">
        <f t="shared" si="113"/>
        <v>544322.33788135555</v>
      </c>
      <c r="H1235" s="726">
        <f>+J1216*G1235+E1235</f>
        <v>70698.981072414754</v>
      </c>
      <c r="I1235" s="733">
        <f>+J1217*G1235+E1235</f>
        <v>70698.981072414754</v>
      </c>
      <c r="J1235" s="729">
        <f t="shared" si="114"/>
        <v>0</v>
      </c>
      <c r="K1235" s="729"/>
      <c r="L1235" s="734"/>
      <c r="M1235" s="729">
        <f t="shared" si="115"/>
        <v>0</v>
      </c>
      <c r="N1235" s="734"/>
      <c r="O1235" s="729">
        <f t="shared" si="116"/>
        <v>0</v>
      </c>
      <c r="P1235" s="729">
        <f t="shared" si="117"/>
        <v>0</v>
      </c>
      <c r="Q1235" s="677"/>
    </row>
    <row r="1236" spans="2:17">
      <c r="B1236" s="334"/>
      <c r="C1236" s="725">
        <f>IF(D1215="","-",+C1235+1)</f>
        <v>2032</v>
      </c>
      <c r="D1236" s="676">
        <f t="shared" si="118"/>
        <v>538340.77372881316</v>
      </c>
      <c r="E1236" s="732">
        <f t="shared" si="119"/>
        <v>11963.128305084745</v>
      </c>
      <c r="F1236" s="732">
        <f t="shared" si="112"/>
        <v>526377.64542372839</v>
      </c>
      <c r="G1236" s="676">
        <f t="shared" si="113"/>
        <v>532359.20957627078</v>
      </c>
      <c r="H1236" s="726">
        <f>+J1216*G1236+E1236</f>
        <v>69408.0832093965</v>
      </c>
      <c r="I1236" s="733">
        <f>+J1217*G1236+E1236</f>
        <v>69408.0832093965</v>
      </c>
      <c r="J1236" s="729">
        <f t="shared" si="114"/>
        <v>0</v>
      </c>
      <c r="K1236" s="729"/>
      <c r="L1236" s="734"/>
      <c r="M1236" s="729">
        <f t="shared" si="115"/>
        <v>0</v>
      </c>
      <c r="N1236" s="734"/>
      <c r="O1236" s="729">
        <f t="shared" si="116"/>
        <v>0</v>
      </c>
      <c r="P1236" s="729">
        <f t="shared" si="117"/>
        <v>0</v>
      </c>
      <c r="Q1236" s="677"/>
    </row>
    <row r="1237" spans="2:17">
      <c r="B1237" s="334"/>
      <c r="C1237" s="725">
        <f>IF(D1215="","-",+C1236+1)</f>
        <v>2033</v>
      </c>
      <c r="D1237" s="676">
        <f t="shared" si="118"/>
        <v>526377.64542372839</v>
      </c>
      <c r="E1237" s="732">
        <f t="shared" si="119"/>
        <v>11963.128305084745</v>
      </c>
      <c r="F1237" s="732">
        <f t="shared" si="112"/>
        <v>514414.51711864362</v>
      </c>
      <c r="G1237" s="676">
        <f t="shared" si="113"/>
        <v>520396.08127118601</v>
      </c>
      <c r="H1237" s="726">
        <f>+J1216*G1237+E1237</f>
        <v>68117.185346378261</v>
      </c>
      <c r="I1237" s="733">
        <f>+J1217*G1237+E1237</f>
        <v>68117.185346378261</v>
      </c>
      <c r="J1237" s="729">
        <f t="shared" si="114"/>
        <v>0</v>
      </c>
      <c r="K1237" s="729"/>
      <c r="L1237" s="734"/>
      <c r="M1237" s="729">
        <f t="shared" si="115"/>
        <v>0</v>
      </c>
      <c r="N1237" s="734"/>
      <c r="O1237" s="729">
        <f t="shared" si="116"/>
        <v>0</v>
      </c>
      <c r="P1237" s="729">
        <f t="shared" si="117"/>
        <v>0</v>
      </c>
      <c r="Q1237" s="677"/>
    </row>
    <row r="1238" spans="2:17">
      <c r="B1238" s="334"/>
      <c r="C1238" s="725">
        <f>IF(D1215="","-",+C1237+1)</f>
        <v>2034</v>
      </c>
      <c r="D1238" s="676">
        <f t="shared" si="118"/>
        <v>514414.51711864362</v>
      </c>
      <c r="E1238" s="732">
        <f t="shared" si="119"/>
        <v>11963.128305084745</v>
      </c>
      <c r="F1238" s="732">
        <f t="shared" si="112"/>
        <v>502451.38881355885</v>
      </c>
      <c r="G1238" s="676">
        <f t="shared" si="113"/>
        <v>508432.95296610123</v>
      </c>
      <c r="H1238" s="726">
        <f>+J1216*G1238+E1238</f>
        <v>66826.287483360022</v>
      </c>
      <c r="I1238" s="733">
        <f>+J1217*G1238+E1238</f>
        <v>66826.287483360022</v>
      </c>
      <c r="J1238" s="729">
        <f t="shared" si="114"/>
        <v>0</v>
      </c>
      <c r="K1238" s="729"/>
      <c r="L1238" s="734"/>
      <c r="M1238" s="729">
        <f t="shared" si="115"/>
        <v>0</v>
      </c>
      <c r="N1238" s="734"/>
      <c r="O1238" s="729">
        <f t="shared" si="116"/>
        <v>0</v>
      </c>
      <c r="P1238" s="729">
        <f t="shared" si="117"/>
        <v>0</v>
      </c>
      <c r="Q1238" s="677"/>
    </row>
    <row r="1239" spans="2:17">
      <c r="B1239" s="334"/>
      <c r="C1239" s="725">
        <f>IF(D1215="","-",+C1238+1)</f>
        <v>2035</v>
      </c>
      <c r="D1239" s="676">
        <f t="shared" si="118"/>
        <v>502451.38881355885</v>
      </c>
      <c r="E1239" s="732">
        <f t="shared" si="119"/>
        <v>11963.128305084745</v>
      </c>
      <c r="F1239" s="732">
        <f t="shared" si="112"/>
        <v>490488.26050847408</v>
      </c>
      <c r="G1239" s="676">
        <f t="shared" si="113"/>
        <v>496469.82466101646</v>
      </c>
      <c r="H1239" s="726">
        <f>+J1216*G1239+E1239</f>
        <v>65535.389620341768</v>
      </c>
      <c r="I1239" s="733">
        <f>+J1217*G1239+E1239</f>
        <v>65535.389620341768</v>
      </c>
      <c r="J1239" s="729">
        <f t="shared" si="114"/>
        <v>0</v>
      </c>
      <c r="K1239" s="729"/>
      <c r="L1239" s="734"/>
      <c r="M1239" s="729">
        <f t="shared" si="115"/>
        <v>0</v>
      </c>
      <c r="N1239" s="734"/>
      <c r="O1239" s="729">
        <f t="shared" si="116"/>
        <v>0</v>
      </c>
      <c r="P1239" s="729">
        <f t="shared" si="117"/>
        <v>0</v>
      </c>
      <c r="Q1239" s="677"/>
    </row>
    <row r="1240" spans="2:17">
      <c r="B1240" s="334"/>
      <c r="C1240" s="725">
        <f>IF(D1215="","-",+C1239+1)</f>
        <v>2036</v>
      </c>
      <c r="D1240" s="676">
        <f t="shared" si="118"/>
        <v>490488.26050847408</v>
      </c>
      <c r="E1240" s="732">
        <f t="shared" si="119"/>
        <v>11963.128305084745</v>
      </c>
      <c r="F1240" s="732">
        <f t="shared" si="112"/>
        <v>478525.13220338931</v>
      </c>
      <c r="G1240" s="676">
        <f t="shared" si="113"/>
        <v>484506.69635593169</v>
      </c>
      <c r="H1240" s="726">
        <f>+J1216*G1240+E1240</f>
        <v>64244.491757323529</v>
      </c>
      <c r="I1240" s="733">
        <f>+J1217*G1240+E1240</f>
        <v>64244.491757323529</v>
      </c>
      <c r="J1240" s="729">
        <f t="shared" si="114"/>
        <v>0</v>
      </c>
      <c r="K1240" s="729"/>
      <c r="L1240" s="734"/>
      <c r="M1240" s="729">
        <f t="shared" si="115"/>
        <v>0</v>
      </c>
      <c r="N1240" s="734"/>
      <c r="O1240" s="729">
        <f t="shared" si="116"/>
        <v>0</v>
      </c>
      <c r="P1240" s="729">
        <f t="shared" si="117"/>
        <v>0</v>
      </c>
      <c r="Q1240" s="677"/>
    </row>
    <row r="1241" spans="2:17">
      <c r="B1241" s="334"/>
      <c r="C1241" s="725">
        <f>IF(D1215="","-",+C1240+1)</f>
        <v>2037</v>
      </c>
      <c r="D1241" s="676">
        <f t="shared" si="118"/>
        <v>478525.13220338931</v>
      </c>
      <c r="E1241" s="732">
        <f t="shared" si="119"/>
        <v>11963.128305084745</v>
      </c>
      <c r="F1241" s="732">
        <f t="shared" si="112"/>
        <v>466562.00389830454</v>
      </c>
      <c r="G1241" s="676">
        <f t="shared" si="113"/>
        <v>472543.56805084692</v>
      </c>
      <c r="H1241" s="726">
        <f>+J1216*G1241+E1241</f>
        <v>62953.593894305275</v>
      </c>
      <c r="I1241" s="733">
        <f>+J1217*G1241+E1241</f>
        <v>62953.593894305275</v>
      </c>
      <c r="J1241" s="729">
        <f t="shared" si="114"/>
        <v>0</v>
      </c>
      <c r="K1241" s="729"/>
      <c r="L1241" s="734"/>
      <c r="M1241" s="729">
        <f t="shared" si="115"/>
        <v>0</v>
      </c>
      <c r="N1241" s="734"/>
      <c r="O1241" s="729">
        <f t="shared" si="116"/>
        <v>0</v>
      </c>
      <c r="P1241" s="729">
        <f t="shared" si="117"/>
        <v>0</v>
      </c>
      <c r="Q1241" s="677"/>
    </row>
    <row r="1242" spans="2:17">
      <c r="B1242" s="334"/>
      <c r="C1242" s="725">
        <f>IF(D1215="","-",+C1241+1)</f>
        <v>2038</v>
      </c>
      <c r="D1242" s="676">
        <f t="shared" si="118"/>
        <v>466562.00389830454</v>
      </c>
      <c r="E1242" s="732">
        <f t="shared" si="119"/>
        <v>11963.128305084745</v>
      </c>
      <c r="F1242" s="732">
        <f t="shared" si="112"/>
        <v>454598.87559321977</v>
      </c>
      <c r="G1242" s="676">
        <f t="shared" si="113"/>
        <v>460580.43974576215</v>
      </c>
      <c r="H1242" s="726">
        <f>+J1216*G1242+E1242</f>
        <v>61662.696031287036</v>
      </c>
      <c r="I1242" s="733">
        <f>+J1217*G1242+E1242</f>
        <v>61662.696031287036</v>
      </c>
      <c r="J1242" s="729">
        <f t="shared" si="114"/>
        <v>0</v>
      </c>
      <c r="K1242" s="729"/>
      <c r="L1242" s="734"/>
      <c r="M1242" s="729">
        <f t="shared" si="115"/>
        <v>0</v>
      </c>
      <c r="N1242" s="734"/>
      <c r="O1242" s="729">
        <f t="shared" si="116"/>
        <v>0</v>
      </c>
      <c r="P1242" s="729">
        <f t="shared" si="117"/>
        <v>0</v>
      </c>
      <c r="Q1242" s="677"/>
    </row>
    <row r="1243" spans="2:17">
      <c r="B1243" s="334"/>
      <c r="C1243" s="725">
        <f>IF(D1215="","-",+C1242+1)</f>
        <v>2039</v>
      </c>
      <c r="D1243" s="676">
        <f t="shared" si="118"/>
        <v>454598.87559321977</v>
      </c>
      <c r="E1243" s="732">
        <f t="shared" si="119"/>
        <v>11963.128305084745</v>
      </c>
      <c r="F1243" s="732">
        <f t="shared" si="112"/>
        <v>442635.747288135</v>
      </c>
      <c r="G1243" s="676">
        <f t="shared" si="113"/>
        <v>448617.31144067738</v>
      </c>
      <c r="H1243" s="726">
        <f>+J1216*G1243+E1243</f>
        <v>60371.798168268782</v>
      </c>
      <c r="I1243" s="733">
        <f>+J1217*G1243+E1243</f>
        <v>60371.798168268782</v>
      </c>
      <c r="J1243" s="729">
        <f t="shared" si="114"/>
        <v>0</v>
      </c>
      <c r="K1243" s="729"/>
      <c r="L1243" s="734"/>
      <c r="M1243" s="729">
        <f t="shared" si="115"/>
        <v>0</v>
      </c>
      <c r="N1243" s="734"/>
      <c r="O1243" s="729">
        <f t="shared" si="116"/>
        <v>0</v>
      </c>
      <c r="P1243" s="729">
        <f t="shared" si="117"/>
        <v>0</v>
      </c>
      <c r="Q1243" s="677"/>
    </row>
    <row r="1244" spans="2:17">
      <c r="B1244" s="334"/>
      <c r="C1244" s="725">
        <f>IF(D1215="","-",+C1243+1)</f>
        <v>2040</v>
      </c>
      <c r="D1244" s="676">
        <f t="shared" si="118"/>
        <v>442635.747288135</v>
      </c>
      <c r="E1244" s="732">
        <f t="shared" si="119"/>
        <v>11963.128305084745</v>
      </c>
      <c r="F1244" s="732">
        <f t="shared" si="112"/>
        <v>430672.61898305023</v>
      </c>
      <c r="G1244" s="676">
        <f t="shared" si="113"/>
        <v>436654.18313559261</v>
      </c>
      <c r="H1244" s="726">
        <f>+J1216*G1244+E1244</f>
        <v>59080.900305250543</v>
      </c>
      <c r="I1244" s="733">
        <f>+J1217*G1244+E1244</f>
        <v>59080.900305250543</v>
      </c>
      <c r="J1244" s="729">
        <f t="shared" si="114"/>
        <v>0</v>
      </c>
      <c r="K1244" s="729"/>
      <c r="L1244" s="734"/>
      <c r="M1244" s="729">
        <f t="shared" si="115"/>
        <v>0</v>
      </c>
      <c r="N1244" s="734"/>
      <c r="O1244" s="729">
        <f t="shared" si="116"/>
        <v>0</v>
      </c>
      <c r="P1244" s="729">
        <f t="shared" si="117"/>
        <v>0</v>
      </c>
      <c r="Q1244" s="677"/>
    </row>
    <row r="1245" spans="2:17">
      <c r="B1245" s="334"/>
      <c r="C1245" s="725">
        <f>IF(D1215="","-",+C1244+1)</f>
        <v>2041</v>
      </c>
      <c r="D1245" s="676">
        <f t="shared" si="118"/>
        <v>430672.61898305023</v>
      </c>
      <c r="E1245" s="732">
        <f t="shared" si="119"/>
        <v>11963.128305084745</v>
      </c>
      <c r="F1245" s="732">
        <f t="shared" si="112"/>
        <v>418709.49067796546</v>
      </c>
      <c r="G1245" s="676">
        <f t="shared" si="113"/>
        <v>424691.05483050784</v>
      </c>
      <c r="H1245" s="726">
        <f>+J1216*G1245+E1245</f>
        <v>57790.002442232304</v>
      </c>
      <c r="I1245" s="733">
        <f>+J1217*G1245+E1245</f>
        <v>57790.002442232304</v>
      </c>
      <c r="J1245" s="729">
        <f t="shared" si="114"/>
        <v>0</v>
      </c>
      <c r="K1245" s="729"/>
      <c r="L1245" s="734"/>
      <c r="M1245" s="729">
        <f t="shared" si="115"/>
        <v>0</v>
      </c>
      <c r="N1245" s="734"/>
      <c r="O1245" s="729">
        <f t="shared" si="116"/>
        <v>0</v>
      </c>
      <c r="P1245" s="729">
        <f t="shared" si="117"/>
        <v>0</v>
      </c>
      <c r="Q1245" s="677"/>
    </row>
    <row r="1246" spans="2:17">
      <c r="B1246" s="334"/>
      <c r="C1246" s="725">
        <f>IF(D1215="","-",+C1245+1)</f>
        <v>2042</v>
      </c>
      <c r="D1246" s="676">
        <f t="shared" si="118"/>
        <v>418709.49067796546</v>
      </c>
      <c r="E1246" s="732">
        <f t="shared" si="119"/>
        <v>11963.128305084745</v>
      </c>
      <c r="F1246" s="732">
        <f t="shared" si="112"/>
        <v>406746.36237288069</v>
      </c>
      <c r="G1246" s="676">
        <f t="shared" si="113"/>
        <v>412727.92652542307</v>
      </c>
      <c r="H1246" s="726">
        <f>+J1216*G1246+E1246</f>
        <v>56499.10457921405</v>
      </c>
      <c r="I1246" s="733">
        <f>+J1217*G1246+E1246</f>
        <v>56499.10457921405</v>
      </c>
      <c r="J1246" s="729">
        <f t="shared" si="114"/>
        <v>0</v>
      </c>
      <c r="K1246" s="729"/>
      <c r="L1246" s="734"/>
      <c r="M1246" s="729">
        <f t="shared" si="115"/>
        <v>0</v>
      </c>
      <c r="N1246" s="734"/>
      <c r="O1246" s="729">
        <f t="shared" si="116"/>
        <v>0</v>
      </c>
      <c r="P1246" s="729">
        <f t="shared" si="117"/>
        <v>0</v>
      </c>
      <c r="Q1246" s="677"/>
    </row>
    <row r="1247" spans="2:17">
      <c r="B1247" s="334"/>
      <c r="C1247" s="725">
        <f>IF(D1215="","-",+C1246+1)</f>
        <v>2043</v>
      </c>
      <c r="D1247" s="676">
        <f t="shared" si="118"/>
        <v>406746.36237288069</v>
      </c>
      <c r="E1247" s="732">
        <f t="shared" si="119"/>
        <v>11963.128305084745</v>
      </c>
      <c r="F1247" s="732">
        <f t="shared" si="112"/>
        <v>394783.23406779591</v>
      </c>
      <c r="G1247" s="676">
        <f t="shared" si="113"/>
        <v>400764.7982203383</v>
      </c>
      <c r="H1247" s="726">
        <f>+J1216*G1247+E1247</f>
        <v>55208.206716195811</v>
      </c>
      <c r="I1247" s="733">
        <f>+J1217*G1247+E1247</f>
        <v>55208.206716195811</v>
      </c>
      <c r="J1247" s="729">
        <f t="shared" si="114"/>
        <v>0</v>
      </c>
      <c r="K1247" s="729"/>
      <c r="L1247" s="734"/>
      <c r="M1247" s="729">
        <f t="shared" si="115"/>
        <v>0</v>
      </c>
      <c r="N1247" s="734"/>
      <c r="O1247" s="729">
        <f t="shared" si="116"/>
        <v>0</v>
      </c>
      <c r="P1247" s="729">
        <f t="shared" si="117"/>
        <v>0</v>
      </c>
      <c r="Q1247" s="677"/>
    </row>
    <row r="1248" spans="2:17">
      <c r="B1248" s="334"/>
      <c r="C1248" s="725">
        <f>IF(D1215="","-",+C1247+1)</f>
        <v>2044</v>
      </c>
      <c r="D1248" s="676">
        <f t="shared" si="118"/>
        <v>394783.23406779591</v>
      </c>
      <c r="E1248" s="732">
        <f t="shared" si="119"/>
        <v>11963.128305084745</v>
      </c>
      <c r="F1248" s="732">
        <f t="shared" si="112"/>
        <v>382820.10576271114</v>
      </c>
      <c r="G1248" s="676">
        <f t="shared" si="113"/>
        <v>388801.66991525353</v>
      </c>
      <c r="H1248" s="726">
        <f>+J1216*G1248+E1248</f>
        <v>53917.308853177557</v>
      </c>
      <c r="I1248" s="733">
        <f>+J1217*G1248+E1248</f>
        <v>53917.308853177557</v>
      </c>
      <c r="J1248" s="729">
        <f t="shared" si="114"/>
        <v>0</v>
      </c>
      <c r="K1248" s="729"/>
      <c r="L1248" s="734"/>
      <c r="M1248" s="729">
        <f t="shared" si="115"/>
        <v>0</v>
      </c>
      <c r="N1248" s="734"/>
      <c r="O1248" s="729">
        <f t="shared" si="116"/>
        <v>0</v>
      </c>
      <c r="P1248" s="729">
        <f t="shared" si="117"/>
        <v>0</v>
      </c>
      <c r="Q1248" s="677"/>
    </row>
    <row r="1249" spans="2:17">
      <c r="B1249" s="334"/>
      <c r="C1249" s="725">
        <f>IF(D1215="","-",+C1248+1)</f>
        <v>2045</v>
      </c>
      <c r="D1249" s="676">
        <f t="shared" si="118"/>
        <v>382820.10576271114</v>
      </c>
      <c r="E1249" s="732">
        <f t="shared" si="119"/>
        <v>11963.128305084745</v>
      </c>
      <c r="F1249" s="732">
        <f t="shared" si="112"/>
        <v>370856.97745762637</v>
      </c>
      <c r="G1249" s="676">
        <f t="shared" si="113"/>
        <v>376838.54161016876</v>
      </c>
      <c r="H1249" s="726">
        <f>+J1216*G1249+E1249</f>
        <v>52626.410990159318</v>
      </c>
      <c r="I1249" s="733">
        <f>+J1217*G1249+E1249</f>
        <v>52626.410990159318</v>
      </c>
      <c r="J1249" s="729">
        <f t="shared" si="114"/>
        <v>0</v>
      </c>
      <c r="K1249" s="729"/>
      <c r="L1249" s="734"/>
      <c r="M1249" s="729">
        <f t="shared" si="115"/>
        <v>0</v>
      </c>
      <c r="N1249" s="734"/>
      <c r="O1249" s="729">
        <f t="shared" si="116"/>
        <v>0</v>
      </c>
      <c r="P1249" s="729">
        <f t="shared" si="117"/>
        <v>0</v>
      </c>
      <c r="Q1249" s="677"/>
    </row>
    <row r="1250" spans="2:17">
      <c r="B1250" s="334"/>
      <c r="C1250" s="725">
        <f>IF(D1215="","-",+C1249+1)</f>
        <v>2046</v>
      </c>
      <c r="D1250" s="676">
        <f t="shared" si="118"/>
        <v>370856.97745762637</v>
      </c>
      <c r="E1250" s="732">
        <f t="shared" si="119"/>
        <v>11963.128305084745</v>
      </c>
      <c r="F1250" s="732">
        <f t="shared" si="112"/>
        <v>358893.8491525416</v>
      </c>
      <c r="G1250" s="676">
        <f t="shared" si="113"/>
        <v>364875.41330508399</v>
      </c>
      <c r="H1250" s="726">
        <f>+J1216*G1250+E1250</f>
        <v>51335.513127141065</v>
      </c>
      <c r="I1250" s="733">
        <f>+J1217*G1250+E1250</f>
        <v>51335.513127141065</v>
      </c>
      <c r="J1250" s="729">
        <f t="shared" si="114"/>
        <v>0</v>
      </c>
      <c r="K1250" s="729"/>
      <c r="L1250" s="734"/>
      <c r="M1250" s="729">
        <f t="shared" si="115"/>
        <v>0</v>
      </c>
      <c r="N1250" s="734"/>
      <c r="O1250" s="729">
        <f t="shared" si="116"/>
        <v>0</v>
      </c>
      <c r="P1250" s="729">
        <f t="shared" si="117"/>
        <v>0</v>
      </c>
      <c r="Q1250" s="677"/>
    </row>
    <row r="1251" spans="2:17">
      <c r="B1251" s="334"/>
      <c r="C1251" s="725">
        <f>IF(D1215="","-",+C1250+1)</f>
        <v>2047</v>
      </c>
      <c r="D1251" s="676">
        <f t="shared" si="118"/>
        <v>358893.8491525416</v>
      </c>
      <c r="E1251" s="732">
        <f t="shared" si="119"/>
        <v>11963.128305084745</v>
      </c>
      <c r="F1251" s="732">
        <f t="shared" si="112"/>
        <v>346930.72084745683</v>
      </c>
      <c r="G1251" s="676">
        <f t="shared" si="113"/>
        <v>352912.28499999922</v>
      </c>
      <c r="H1251" s="726">
        <f>+J1216*G1251+E1251</f>
        <v>50044.615264122825</v>
      </c>
      <c r="I1251" s="733">
        <f>+J1217*G1251+E1251</f>
        <v>50044.615264122825</v>
      </c>
      <c r="J1251" s="729">
        <f t="shared" si="114"/>
        <v>0</v>
      </c>
      <c r="K1251" s="729"/>
      <c r="L1251" s="734"/>
      <c r="M1251" s="729">
        <f t="shared" si="115"/>
        <v>0</v>
      </c>
      <c r="N1251" s="734"/>
      <c r="O1251" s="729">
        <f t="shared" si="116"/>
        <v>0</v>
      </c>
      <c r="P1251" s="729">
        <f t="shared" si="117"/>
        <v>0</v>
      </c>
      <c r="Q1251" s="677"/>
    </row>
    <row r="1252" spans="2:17">
      <c r="B1252" s="334"/>
      <c r="C1252" s="725">
        <f>IF(D1215="","-",+C1251+1)</f>
        <v>2048</v>
      </c>
      <c r="D1252" s="676">
        <f t="shared" si="118"/>
        <v>346930.72084745683</v>
      </c>
      <c r="E1252" s="732">
        <f t="shared" si="119"/>
        <v>11963.128305084745</v>
      </c>
      <c r="F1252" s="732">
        <f t="shared" si="112"/>
        <v>334967.59254237206</v>
      </c>
      <c r="G1252" s="676">
        <f t="shared" si="113"/>
        <v>340949.15669491445</v>
      </c>
      <c r="H1252" s="726">
        <f>+J1216*G1252+E1252</f>
        <v>48753.717401104572</v>
      </c>
      <c r="I1252" s="733">
        <f>+J1217*G1252+E1252</f>
        <v>48753.717401104572</v>
      </c>
      <c r="J1252" s="729">
        <f t="shared" si="114"/>
        <v>0</v>
      </c>
      <c r="K1252" s="729"/>
      <c r="L1252" s="734"/>
      <c r="M1252" s="729">
        <f t="shared" si="115"/>
        <v>0</v>
      </c>
      <c r="N1252" s="734"/>
      <c r="O1252" s="729">
        <f t="shared" si="116"/>
        <v>0</v>
      </c>
      <c r="P1252" s="729">
        <f t="shared" si="117"/>
        <v>0</v>
      </c>
      <c r="Q1252" s="677"/>
    </row>
    <row r="1253" spans="2:17">
      <c r="B1253" s="334"/>
      <c r="C1253" s="725">
        <f>IF(D1215="","-",+C1252+1)</f>
        <v>2049</v>
      </c>
      <c r="D1253" s="676">
        <f t="shared" si="118"/>
        <v>334967.59254237206</v>
      </c>
      <c r="E1253" s="732">
        <f t="shared" si="119"/>
        <v>11963.128305084745</v>
      </c>
      <c r="F1253" s="732">
        <f t="shared" si="112"/>
        <v>323004.46423728729</v>
      </c>
      <c r="G1253" s="676">
        <f t="shared" si="113"/>
        <v>328986.02838982968</v>
      </c>
      <c r="H1253" s="726">
        <f>+J1216*G1253+E1253</f>
        <v>47462.819538086333</v>
      </c>
      <c r="I1253" s="733">
        <f>+J1217*G1253+E1253</f>
        <v>47462.819538086333</v>
      </c>
      <c r="J1253" s="729">
        <f t="shared" si="114"/>
        <v>0</v>
      </c>
      <c r="K1253" s="729"/>
      <c r="L1253" s="734"/>
      <c r="M1253" s="729">
        <f t="shared" si="115"/>
        <v>0</v>
      </c>
      <c r="N1253" s="734"/>
      <c r="O1253" s="729">
        <f t="shared" si="116"/>
        <v>0</v>
      </c>
      <c r="P1253" s="729">
        <f t="shared" si="117"/>
        <v>0</v>
      </c>
      <c r="Q1253" s="677"/>
    </row>
    <row r="1254" spans="2:17">
      <c r="B1254" s="334"/>
      <c r="C1254" s="725">
        <f>IF(D1215="","-",+C1253+1)</f>
        <v>2050</v>
      </c>
      <c r="D1254" s="676">
        <f t="shared" si="118"/>
        <v>323004.46423728729</v>
      </c>
      <c r="E1254" s="732">
        <f t="shared" si="119"/>
        <v>11963.128305084745</v>
      </c>
      <c r="F1254" s="732">
        <f t="shared" si="112"/>
        <v>311041.33593220252</v>
      </c>
      <c r="G1254" s="676">
        <f t="shared" si="113"/>
        <v>317022.90008474491</v>
      </c>
      <c r="H1254" s="726">
        <f>+J1216*G1254+E1254</f>
        <v>46171.921675068093</v>
      </c>
      <c r="I1254" s="733">
        <f>+J1217*G1254+E1254</f>
        <v>46171.921675068093</v>
      </c>
      <c r="J1254" s="729">
        <f t="shared" si="114"/>
        <v>0</v>
      </c>
      <c r="K1254" s="729"/>
      <c r="L1254" s="734"/>
      <c r="M1254" s="729">
        <f t="shared" si="115"/>
        <v>0</v>
      </c>
      <c r="N1254" s="734"/>
      <c r="O1254" s="729">
        <f t="shared" si="116"/>
        <v>0</v>
      </c>
      <c r="P1254" s="729">
        <f t="shared" si="117"/>
        <v>0</v>
      </c>
      <c r="Q1254" s="677"/>
    </row>
    <row r="1255" spans="2:17">
      <c r="B1255" s="334"/>
      <c r="C1255" s="725">
        <f>IF(D1215="","-",+C1254+1)</f>
        <v>2051</v>
      </c>
      <c r="D1255" s="676">
        <f t="shared" si="118"/>
        <v>311041.33593220252</v>
      </c>
      <c r="E1255" s="732">
        <f t="shared" si="119"/>
        <v>11963.128305084745</v>
      </c>
      <c r="F1255" s="732">
        <f t="shared" si="112"/>
        <v>299078.20762711775</v>
      </c>
      <c r="G1255" s="676">
        <f t="shared" si="113"/>
        <v>305059.77177966014</v>
      </c>
      <c r="H1255" s="726">
        <f>+J1216*G1255+E1255</f>
        <v>44881.02381204984</v>
      </c>
      <c r="I1255" s="733">
        <f>+J1217*G1255+E1255</f>
        <v>44881.02381204984</v>
      </c>
      <c r="J1255" s="729">
        <f t="shared" si="114"/>
        <v>0</v>
      </c>
      <c r="K1255" s="729"/>
      <c r="L1255" s="734"/>
      <c r="M1255" s="729">
        <f t="shared" si="115"/>
        <v>0</v>
      </c>
      <c r="N1255" s="734"/>
      <c r="O1255" s="729">
        <f t="shared" si="116"/>
        <v>0</v>
      </c>
      <c r="P1255" s="729">
        <f t="shared" si="117"/>
        <v>0</v>
      </c>
      <c r="Q1255" s="677"/>
    </row>
    <row r="1256" spans="2:17">
      <c r="B1256" s="334"/>
      <c r="C1256" s="725">
        <f>IF(D1215="","-",+C1255+1)</f>
        <v>2052</v>
      </c>
      <c r="D1256" s="676">
        <f t="shared" si="118"/>
        <v>299078.20762711775</v>
      </c>
      <c r="E1256" s="732">
        <f t="shared" si="119"/>
        <v>11963.128305084745</v>
      </c>
      <c r="F1256" s="732">
        <f t="shared" si="112"/>
        <v>287115.07932203298</v>
      </c>
      <c r="G1256" s="676">
        <f t="shared" si="113"/>
        <v>293096.64347457536</v>
      </c>
      <c r="H1256" s="726">
        <f>+J1216*G1256+E1256</f>
        <v>43590.125949031601</v>
      </c>
      <c r="I1256" s="733">
        <f>+J1217*G1256+E1256</f>
        <v>43590.125949031601</v>
      </c>
      <c r="J1256" s="729">
        <f t="shared" si="114"/>
        <v>0</v>
      </c>
      <c r="K1256" s="729"/>
      <c r="L1256" s="734"/>
      <c r="M1256" s="729">
        <f t="shared" si="115"/>
        <v>0</v>
      </c>
      <c r="N1256" s="734"/>
      <c r="O1256" s="729">
        <f t="shared" si="116"/>
        <v>0</v>
      </c>
      <c r="P1256" s="729">
        <f t="shared" si="117"/>
        <v>0</v>
      </c>
      <c r="Q1256" s="677"/>
    </row>
    <row r="1257" spans="2:17">
      <c r="B1257" s="334"/>
      <c r="C1257" s="725">
        <f>IF(D1215="","-",+C1256+1)</f>
        <v>2053</v>
      </c>
      <c r="D1257" s="676">
        <f t="shared" si="118"/>
        <v>287115.07932203298</v>
      </c>
      <c r="E1257" s="732">
        <f t="shared" si="119"/>
        <v>11963.128305084745</v>
      </c>
      <c r="F1257" s="732">
        <f t="shared" si="112"/>
        <v>275151.95101694821</v>
      </c>
      <c r="G1257" s="676">
        <f t="shared" si="113"/>
        <v>281133.51516949059</v>
      </c>
      <c r="H1257" s="726">
        <f>+J1216*G1257+E1257</f>
        <v>42299.228086013347</v>
      </c>
      <c r="I1257" s="733">
        <f>+J1217*G1257+E1257</f>
        <v>42299.228086013347</v>
      </c>
      <c r="J1257" s="729">
        <f t="shared" si="114"/>
        <v>0</v>
      </c>
      <c r="K1257" s="729"/>
      <c r="L1257" s="734"/>
      <c r="M1257" s="729">
        <f t="shared" si="115"/>
        <v>0</v>
      </c>
      <c r="N1257" s="734"/>
      <c r="O1257" s="729">
        <f t="shared" si="116"/>
        <v>0</v>
      </c>
      <c r="P1257" s="729">
        <f t="shared" si="117"/>
        <v>0</v>
      </c>
      <c r="Q1257" s="677"/>
    </row>
    <row r="1258" spans="2:17">
      <c r="B1258" s="334"/>
      <c r="C1258" s="725">
        <f>IF(D1215="","-",+C1257+1)</f>
        <v>2054</v>
      </c>
      <c r="D1258" s="676">
        <f t="shared" si="118"/>
        <v>275151.95101694821</v>
      </c>
      <c r="E1258" s="732">
        <f t="shared" si="119"/>
        <v>11963.128305084745</v>
      </c>
      <c r="F1258" s="732">
        <f t="shared" si="112"/>
        <v>263188.82271186344</v>
      </c>
      <c r="G1258" s="676">
        <f t="shared" si="113"/>
        <v>269170.38686440582</v>
      </c>
      <c r="H1258" s="726">
        <f>+J1216*G1258+E1258</f>
        <v>41008.330222995108</v>
      </c>
      <c r="I1258" s="733">
        <f>+J1217*G1258+E1258</f>
        <v>41008.330222995108</v>
      </c>
      <c r="J1258" s="729">
        <f t="shared" si="114"/>
        <v>0</v>
      </c>
      <c r="K1258" s="729"/>
      <c r="L1258" s="734"/>
      <c r="M1258" s="729">
        <f t="shared" si="115"/>
        <v>0</v>
      </c>
      <c r="N1258" s="734"/>
      <c r="O1258" s="729">
        <f t="shared" si="116"/>
        <v>0</v>
      </c>
      <c r="P1258" s="729">
        <f t="shared" si="117"/>
        <v>0</v>
      </c>
      <c r="Q1258" s="677"/>
    </row>
    <row r="1259" spans="2:17">
      <c r="B1259" s="334"/>
      <c r="C1259" s="725">
        <f>IF(D1215="","-",+C1258+1)</f>
        <v>2055</v>
      </c>
      <c r="D1259" s="676">
        <f t="shared" si="118"/>
        <v>263188.82271186344</v>
      </c>
      <c r="E1259" s="732">
        <f t="shared" si="119"/>
        <v>11963.128305084745</v>
      </c>
      <c r="F1259" s="732">
        <f t="shared" si="112"/>
        <v>251225.6944067787</v>
      </c>
      <c r="G1259" s="676">
        <f t="shared" si="113"/>
        <v>257207.25855932105</v>
      </c>
      <c r="H1259" s="726">
        <f>+J1216*G1259+E1259</f>
        <v>39717.432359976861</v>
      </c>
      <c r="I1259" s="733">
        <f>+J1217*G1259+E1259</f>
        <v>39717.432359976861</v>
      </c>
      <c r="J1259" s="729">
        <f t="shared" si="114"/>
        <v>0</v>
      </c>
      <c r="K1259" s="729"/>
      <c r="L1259" s="734"/>
      <c r="M1259" s="729">
        <f t="shared" si="115"/>
        <v>0</v>
      </c>
      <c r="N1259" s="734"/>
      <c r="O1259" s="729">
        <f t="shared" si="116"/>
        <v>0</v>
      </c>
      <c r="P1259" s="729">
        <f t="shared" si="117"/>
        <v>0</v>
      </c>
      <c r="Q1259" s="677"/>
    </row>
    <row r="1260" spans="2:17">
      <c r="B1260" s="334"/>
      <c r="C1260" s="725">
        <f>IF(D1215="","-",+C1259+1)</f>
        <v>2056</v>
      </c>
      <c r="D1260" s="676">
        <f t="shared" si="118"/>
        <v>251225.6944067787</v>
      </c>
      <c r="E1260" s="732">
        <f t="shared" si="119"/>
        <v>11963.128305084745</v>
      </c>
      <c r="F1260" s="732">
        <f t="shared" si="112"/>
        <v>239262.56610169396</v>
      </c>
      <c r="G1260" s="676">
        <f t="shared" si="113"/>
        <v>245244.13025423634</v>
      </c>
      <c r="H1260" s="726">
        <f>+J1216*G1260+E1260</f>
        <v>38426.534496958622</v>
      </c>
      <c r="I1260" s="733">
        <f>+J1217*G1260+E1260</f>
        <v>38426.534496958622</v>
      </c>
      <c r="J1260" s="729">
        <f t="shared" si="114"/>
        <v>0</v>
      </c>
      <c r="K1260" s="729"/>
      <c r="L1260" s="734"/>
      <c r="M1260" s="729">
        <f t="shared" si="115"/>
        <v>0</v>
      </c>
      <c r="N1260" s="734"/>
      <c r="O1260" s="729">
        <f t="shared" si="116"/>
        <v>0</v>
      </c>
      <c r="P1260" s="729">
        <f t="shared" si="117"/>
        <v>0</v>
      </c>
      <c r="Q1260" s="677"/>
    </row>
    <row r="1261" spans="2:17">
      <c r="B1261" s="334"/>
      <c r="C1261" s="725">
        <f>IF(D1215="","-",+C1260+1)</f>
        <v>2057</v>
      </c>
      <c r="D1261" s="676">
        <f t="shared" si="118"/>
        <v>239262.56610169396</v>
      </c>
      <c r="E1261" s="732">
        <f t="shared" si="119"/>
        <v>11963.128305084745</v>
      </c>
      <c r="F1261" s="732">
        <f t="shared" si="112"/>
        <v>227299.43779660921</v>
      </c>
      <c r="G1261" s="676">
        <f t="shared" si="113"/>
        <v>233281.00194915157</v>
      </c>
      <c r="H1261" s="726">
        <f>+J1216*G1261+E1261</f>
        <v>37135.636633940376</v>
      </c>
      <c r="I1261" s="733">
        <f>+J1217*G1261+E1261</f>
        <v>37135.636633940376</v>
      </c>
      <c r="J1261" s="729">
        <f t="shared" si="114"/>
        <v>0</v>
      </c>
      <c r="K1261" s="729"/>
      <c r="L1261" s="734"/>
      <c r="M1261" s="729">
        <f t="shared" si="115"/>
        <v>0</v>
      </c>
      <c r="N1261" s="734"/>
      <c r="O1261" s="729">
        <f t="shared" si="116"/>
        <v>0</v>
      </c>
      <c r="P1261" s="729">
        <f t="shared" si="117"/>
        <v>0</v>
      </c>
      <c r="Q1261" s="677"/>
    </row>
    <row r="1262" spans="2:17">
      <c r="B1262" s="334"/>
      <c r="C1262" s="725">
        <f>IF(D1215="","-",+C1261+1)</f>
        <v>2058</v>
      </c>
      <c r="D1262" s="676">
        <f t="shared" si="118"/>
        <v>227299.43779660921</v>
      </c>
      <c r="E1262" s="732">
        <f t="shared" si="119"/>
        <v>11963.128305084745</v>
      </c>
      <c r="F1262" s="732">
        <f t="shared" si="112"/>
        <v>215336.30949152447</v>
      </c>
      <c r="G1262" s="676">
        <f t="shared" si="113"/>
        <v>221317.87364406686</v>
      </c>
      <c r="H1262" s="726">
        <f>+J1216*G1262+E1262</f>
        <v>35844.738770922137</v>
      </c>
      <c r="I1262" s="733">
        <f>+J1217*G1262+E1262</f>
        <v>35844.738770922137</v>
      </c>
      <c r="J1262" s="729">
        <f t="shared" si="114"/>
        <v>0</v>
      </c>
      <c r="K1262" s="729"/>
      <c r="L1262" s="734"/>
      <c r="M1262" s="729">
        <f t="shared" si="115"/>
        <v>0</v>
      </c>
      <c r="N1262" s="734"/>
      <c r="O1262" s="729">
        <f t="shared" si="116"/>
        <v>0</v>
      </c>
      <c r="P1262" s="729">
        <f t="shared" si="117"/>
        <v>0</v>
      </c>
      <c r="Q1262" s="677"/>
    </row>
    <row r="1263" spans="2:17">
      <c r="B1263" s="334"/>
      <c r="C1263" s="725">
        <f>IF(D1215="","-",+C1262+1)</f>
        <v>2059</v>
      </c>
      <c r="D1263" s="676">
        <f t="shared" si="118"/>
        <v>215336.30949152447</v>
      </c>
      <c r="E1263" s="732">
        <f t="shared" si="119"/>
        <v>11963.128305084745</v>
      </c>
      <c r="F1263" s="732">
        <f t="shared" si="112"/>
        <v>203373.18118643973</v>
      </c>
      <c r="G1263" s="676">
        <f t="shared" si="113"/>
        <v>209354.74533898209</v>
      </c>
      <c r="H1263" s="726">
        <f>+J1216*G1263+E1263</f>
        <v>34553.84090790389</v>
      </c>
      <c r="I1263" s="733">
        <f>+J1217*G1263+E1263</f>
        <v>34553.84090790389</v>
      </c>
      <c r="J1263" s="729">
        <f t="shared" si="114"/>
        <v>0</v>
      </c>
      <c r="K1263" s="729"/>
      <c r="L1263" s="734"/>
      <c r="M1263" s="729">
        <f t="shared" si="115"/>
        <v>0</v>
      </c>
      <c r="N1263" s="734"/>
      <c r="O1263" s="729">
        <f t="shared" si="116"/>
        <v>0</v>
      </c>
      <c r="P1263" s="729">
        <f t="shared" si="117"/>
        <v>0</v>
      </c>
      <c r="Q1263" s="677"/>
    </row>
    <row r="1264" spans="2:17">
      <c r="B1264" s="334"/>
      <c r="C1264" s="725">
        <f>IF(D1215="","-",+C1263+1)</f>
        <v>2060</v>
      </c>
      <c r="D1264" s="676">
        <f t="shared" si="118"/>
        <v>203373.18118643973</v>
      </c>
      <c r="E1264" s="732">
        <f t="shared" si="119"/>
        <v>11963.128305084745</v>
      </c>
      <c r="F1264" s="732">
        <f t="shared" si="112"/>
        <v>191410.05288135499</v>
      </c>
      <c r="G1264" s="676">
        <f t="shared" si="113"/>
        <v>197391.61703389738</v>
      </c>
      <c r="H1264" s="726">
        <f>+J1216*G1264+E1264</f>
        <v>33262.943044885651</v>
      </c>
      <c r="I1264" s="733">
        <f>+J1217*G1264+E1264</f>
        <v>33262.943044885651</v>
      </c>
      <c r="J1264" s="729">
        <f t="shared" si="114"/>
        <v>0</v>
      </c>
      <c r="K1264" s="729"/>
      <c r="L1264" s="734"/>
      <c r="M1264" s="729">
        <f t="shared" si="115"/>
        <v>0</v>
      </c>
      <c r="N1264" s="734"/>
      <c r="O1264" s="729">
        <f t="shared" si="116"/>
        <v>0</v>
      </c>
      <c r="P1264" s="729">
        <f t="shared" si="117"/>
        <v>0</v>
      </c>
      <c r="Q1264" s="677"/>
    </row>
    <row r="1265" spans="2:17">
      <c r="B1265" s="334"/>
      <c r="C1265" s="725">
        <f>IF(D1215="","-",+C1264+1)</f>
        <v>2061</v>
      </c>
      <c r="D1265" s="676">
        <f t="shared" si="118"/>
        <v>191410.05288135499</v>
      </c>
      <c r="E1265" s="732">
        <f t="shared" si="119"/>
        <v>11963.128305084745</v>
      </c>
      <c r="F1265" s="732">
        <f t="shared" si="112"/>
        <v>179446.92457627025</v>
      </c>
      <c r="G1265" s="676">
        <f t="shared" si="113"/>
        <v>185428.4887288126</v>
      </c>
      <c r="H1265" s="726">
        <f>+J1216*G1265+E1265</f>
        <v>31972.045181867405</v>
      </c>
      <c r="I1265" s="733">
        <f>+J1217*G1265+E1265</f>
        <v>31972.045181867405</v>
      </c>
      <c r="J1265" s="729">
        <f t="shared" si="114"/>
        <v>0</v>
      </c>
      <c r="K1265" s="729"/>
      <c r="L1265" s="734"/>
      <c r="M1265" s="729">
        <f t="shared" si="115"/>
        <v>0</v>
      </c>
      <c r="N1265" s="734"/>
      <c r="O1265" s="729">
        <f t="shared" si="116"/>
        <v>0</v>
      </c>
      <c r="P1265" s="729">
        <f t="shared" si="117"/>
        <v>0</v>
      </c>
      <c r="Q1265" s="677"/>
    </row>
    <row r="1266" spans="2:17">
      <c r="B1266" s="334"/>
      <c r="C1266" s="725">
        <f>IF(D1215="","-",+C1265+1)</f>
        <v>2062</v>
      </c>
      <c r="D1266" s="676">
        <f t="shared" si="118"/>
        <v>179446.92457627025</v>
      </c>
      <c r="E1266" s="732">
        <f t="shared" si="119"/>
        <v>11963.128305084745</v>
      </c>
      <c r="F1266" s="732">
        <f t="shared" si="112"/>
        <v>167483.79627118551</v>
      </c>
      <c r="G1266" s="676">
        <f t="shared" si="113"/>
        <v>173465.36042372789</v>
      </c>
      <c r="H1266" s="726">
        <f>+J1216*G1266+E1266</f>
        <v>30681.147318849165</v>
      </c>
      <c r="I1266" s="733">
        <f>+J1217*G1266+E1266</f>
        <v>30681.147318849165</v>
      </c>
      <c r="J1266" s="729">
        <f t="shared" si="114"/>
        <v>0</v>
      </c>
      <c r="K1266" s="729"/>
      <c r="L1266" s="734"/>
      <c r="M1266" s="729">
        <f t="shared" si="115"/>
        <v>0</v>
      </c>
      <c r="N1266" s="734"/>
      <c r="O1266" s="729">
        <f t="shared" si="116"/>
        <v>0</v>
      </c>
      <c r="P1266" s="729">
        <f t="shared" si="117"/>
        <v>0</v>
      </c>
      <c r="Q1266" s="677"/>
    </row>
    <row r="1267" spans="2:17">
      <c r="B1267" s="334"/>
      <c r="C1267" s="725">
        <f>IF(D1215="","-",+C1266+1)</f>
        <v>2063</v>
      </c>
      <c r="D1267" s="676">
        <f t="shared" si="118"/>
        <v>167483.79627118551</v>
      </c>
      <c r="E1267" s="732">
        <f t="shared" si="119"/>
        <v>11963.128305084745</v>
      </c>
      <c r="F1267" s="732">
        <f t="shared" si="112"/>
        <v>155520.66796610077</v>
      </c>
      <c r="G1267" s="676">
        <f t="shared" si="113"/>
        <v>161502.23211864312</v>
      </c>
      <c r="H1267" s="726">
        <f>+J1216*G1267+E1267</f>
        <v>29390.249455830923</v>
      </c>
      <c r="I1267" s="733">
        <f>+J1217*G1267+E1267</f>
        <v>29390.249455830923</v>
      </c>
      <c r="J1267" s="729">
        <f t="shared" si="114"/>
        <v>0</v>
      </c>
      <c r="K1267" s="729"/>
      <c r="L1267" s="734"/>
      <c r="M1267" s="729">
        <f t="shared" si="115"/>
        <v>0</v>
      </c>
      <c r="N1267" s="734"/>
      <c r="O1267" s="729">
        <f t="shared" si="116"/>
        <v>0</v>
      </c>
      <c r="P1267" s="729">
        <f t="shared" si="117"/>
        <v>0</v>
      </c>
      <c r="Q1267" s="677"/>
    </row>
    <row r="1268" spans="2:17">
      <c r="B1268" s="334"/>
      <c r="C1268" s="725">
        <f>IF(D1215="","-",+C1267+1)</f>
        <v>2064</v>
      </c>
      <c r="D1268" s="676">
        <f t="shared" si="118"/>
        <v>155520.66796610077</v>
      </c>
      <c r="E1268" s="732">
        <f t="shared" si="119"/>
        <v>11963.128305084745</v>
      </c>
      <c r="F1268" s="732">
        <f t="shared" si="112"/>
        <v>143557.53966101602</v>
      </c>
      <c r="G1268" s="676">
        <f t="shared" si="113"/>
        <v>149539.10381355841</v>
      </c>
      <c r="H1268" s="726">
        <f>+J1216*G1268+E1268</f>
        <v>28099.35159281268</v>
      </c>
      <c r="I1268" s="733">
        <f>+J1217*G1268+E1268</f>
        <v>28099.35159281268</v>
      </c>
      <c r="J1268" s="729">
        <f t="shared" si="114"/>
        <v>0</v>
      </c>
      <c r="K1268" s="729"/>
      <c r="L1268" s="734"/>
      <c r="M1268" s="729">
        <f t="shared" si="115"/>
        <v>0</v>
      </c>
      <c r="N1268" s="734"/>
      <c r="O1268" s="729">
        <f t="shared" si="116"/>
        <v>0</v>
      </c>
      <c r="P1268" s="729">
        <f t="shared" si="117"/>
        <v>0</v>
      </c>
      <c r="Q1268" s="677"/>
    </row>
    <row r="1269" spans="2:17">
      <c r="B1269" s="334"/>
      <c r="C1269" s="725">
        <f>IF(D1215="","-",+C1268+1)</f>
        <v>2065</v>
      </c>
      <c r="D1269" s="676">
        <f t="shared" si="118"/>
        <v>143557.53966101602</v>
      </c>
      <c r="E1269" s="732">
        <f t="shared" si="119"/>
        <v>11963.128305084745</v>
      </c>
      <c r="F1269" s="732">
        <f t="shared" si="112"/>
        <v>131594.41135593128</v>
      </c>
      <c r="G1269" s="676">
        <f t="shared" si="113"/>
        <v>137575.97550847364</v>
      </c>
      <c r="H1269" s="726">
        <f>+J1216*G1269+E1269</f>
        <v>26808.453729794437</v>
      </c>
      <c r="I1269" s="733">
        <f>+J1217*G1269+E1269</f>
        <v>26808.453729794437</v>
      </c>
      <c r="J1269" s="729">
        <f t="shared" si="114"/>
        <v>0</v>
      </c>
      <c r="K1269" s="729"/>
      <c r="L1269" s="734"/>
      <c r="M1269" s="729">
        <f t="shared" si="115"/>
        <v>0</v>
      </c>
      <c r="N1269" s="734"/>
      <c r="O1269" s="729">
        <f t="shared" si="116"/>
        <v>0</v>
      </c>
      <c r="P1269" s="729">
        <f t="shared" si="117"/>
        <v>0</v>
      </c>
      <c r="Q1269" s="677"/>
    </row>
    <row r="1270" spans="2:17">
      <c r="B1270" s="334"/>
      <c r="C1270" s="725">
        <f>IF(D1215="","-",+C1269+1)</f>
        <v>2066</v>
      </c>
      <c r="D1270" s="676">
        <f t="shared" si="118"/>
        <v>131594.41135593128</v>
      </c>
      <c r="E1270" s="732">
        <f t="shared" si="119"/>
        <v>11963.128305084745</v>
      </c>
      <c r="F1270" s="732">
        <f t="shared" si="112"/>
        <v>119631.28305084654</v>
      </c>
      <c r="G1270" s="676">
        <f t="shared" si="113"/>
        <v>125612.84720338891</v>
      </c>
      <c r="H1270" s="726">
        <f>+J1216*G1270+E1270</f>
        <v>25517.555866776194</v>
      </c>
      <c r="I1270" s="733">
        <f>+J1217*G1270+E1270</f>
        <v>25517.555866776194</v>
      </c>
      <c r="J1270" s="729">
        <f t="shared" si="114"/>
        <v>0</v>
      </c>
      <c r="K1270" s="729"/>
      <c r="L1270" s="734"/>
      <c r="M1270" s="729">
        <f t="shared" si="115"/>
        <v>0</v>
      </c>
      <c r="N1270" s="734"/>
      <c r="O1270" s="729">
        <f t="shared" si="116"/>
        <v>0</v>
      </c>
      <c r="P1270" s="729">
        <f t="shared" si="117"/>
        <v>0</v>
      </c>
      <c r="Q1270" s="677"/>
    </row>
    <row r="1271" spans="2:17">
      <c r="B1271" s="334"/>
      <c r="C1271" s="725">
        <f>IF(D1215="","-",+C1270+1)</f>
        <v>2067</v>
      </c>
      <c r="D1271" s="676">
        <f t="shared" si="118"/>
        <v>119631.28305084654</v>
      </c>
      <c r="E1271" s="732">
        <f t="shared" si="119"/>
        <v>11963.128305084745</v>
      </c>
      <c r="F1271" s="732">
        <f t="shared" si="112"/>
        <v>107668.1547457618</v>
      </c>
      <c r="G1271" s="676">
        <f t="shared" si="113"/>
        <v>113649.71889830417</v>
      </c>
      <c r="H1271" s="726">
        <f>+J1216*G1271+E1271</f>
        <v>24226.658003757955</v>
      </c>
      <c r="I1271" s="733">
        <f>+J1217*G1271+E1271</f>
        <v>24226.658003757955</v>
      </c>
      <c r="J1271" s="729">
        <f t="shared" si="114"/>
        <v>0</v>
      </c>
      <c r="K1271" s="729"/>
      <c r="L1271" s="734"/>
      <c r="M1271" s="729">
        <f t="shared" si="115"/>
        <v>0</v>
      </c>
      <c r="N1271" s="734"/>
      <c r="O1271" s="729">
        <f t="shared" si="116"/>
        <v>0</v>
      </c>
      <c r="P1271" s="729">
        <f t="shared" si="117"/>
        <v>0</v>
      </c>
      <c r="Q1271" s="677"/>
    </row>
    <row r="1272" spans="2:17">
      <c r="B1272" s="334"/>
      <c r="C1272" s="725">
        <f>IF(D1215="","-",+C1271+1)</f>
        <v>2068</v>
      </c>
      <c r="D1272" s="676">
        <f t="shared" si="118"/>
        <v>107668.1547457618</v>
      </c>
      <c r="E1272" s="732">
        <f t="shared" si="119"/>
        <v>11963.128305084745</v>
      </c>
      <c r="F1272" s="732">
        <f t="shared" si="112"/>
        <v>95705.026440677058</v>
      </c>
      <c r="G1272" s="676">
        <f t="shared" si="113"/>
        <v>101686.59059321943</v>
      </c>
      <c r="H1272" s="726">
        <f>+J1216*G1272+E1272</f>
        <v>22935.760140739709</v>
      </c>
      <c r="I1272" s="733">
        <f>+J1217*G1272+E1272</f>
        <v>22935.760140739709</v>
      </c>
      <c r="J1272" s="729">
        <f t="shared" si="114"/>
        <v>0</v>
      </c>
      <c r="K1272" s="729"/>
      <c r="L1272" s="734"/>
      <c r="M1272" s="729">
        <f t="shared" si="115"/>
        <v>0</v>
      </c>
      <c r="N1272" s="734"/>
      <c r="O1272" s="729">
        <f t="shared" si="116"/>
        <v>0</v>
      </c>
      <c r="P1272" s="729">
        <f t="shared" si="117"/>
        <v>0</v>
      </c>
      <c r="Q1272" s="677"/>
    </row>
    <row r="1273" spans="2:17">
      <c r="B1273" s="334"/>
      <c r="C1273" s="725">
        <f>IF(D1215="","-",+C1272+1)</f>
        <v>2069</v>
      </c>
      <c r="D1273" s="676">
        <f t="shared" si="118"/>
        <v>95705.026440677058</v>
      </c>
      <c r="E1273" s="732">
        <f t="shared" si="119"/>
        <v>11963.128305084745</v>
      </c>
      <c r="F1273" s="732">
        <f t="shared" si="112"/>
        <v>83741.898135592317</v>
      </c>
      <c r="G1273" s="676">
        <f t="shared" si="113"/>
        <v>89723.462288134688</v>
      </c>
      <c r="H1273" s="726">
        <f>+J1216*G1273+E1273</f>
        <v>21644.86227772147</v>
      </c>
      <c r="I1273" s="733">
        <f>+J1217*G1273+E1273</f>
        <v>21644.86227772147</v>
      </c>
      <c r="J1273" s="729">
        <f t="shared" si="114"/>
        <v>0</v>
      </c>
      <c r="K1273" s="729"/>
      <c r="L1273" s="734"/>
      <c r="M1273" s="729">
        <f t="shared" si="115"/>
        <v>0</v>
      </c>
      <c r="N1273" s="734"/>
      <c r="O1273" s="729">
        <f t="shared" si="116"/>
        <v>0</v>
      </c>
      <c r="P1273" s="729">
        <f t="shared" si="117"/>
        <v>0</v>
      </c>
      <c r="Q1273" s="677"/>
    </row>
    <row r="1274" spans="2:17">
      <c r="B1274" s="334"/>
      <c r="C1274" s="725">
        <f>IF(D1215="","-",+C1273+1)</f>
        <v>2070</v>
      </c>
      <c r="D1274" s="676">
        <f t="shared" si="118"/>
        <v>83741.898135592317</v>
      </c>
      <c r="E1274" s="732">
        <f t="shared" si="119"/>
        <v>11963.128305084745</v>
      </c>
      <c r="F1274" s="732">
        <f t="shared" si="112"/>
        <v>71778.769830507576</v>
      </c>
      <c r="G1274" s="676">
        <f t="shared" si="113"/>
        <v>77760.333983049946</v>
      </c>
      <c r="H1274" s="726">
        <f>+J1216*G1274+E1274</f>
        <v>20353.964414703227</v>
      </c>
      <c r="I1274" s="733">
        <f>+J1217*G1274+E1274</f>
        <v>20353.964414703227</v>
      </c>
      <c r="J1274" s="729">
        <f t="shared" si="114"/>
        <v>0</v>
      </c>
      <c r="K1274" s="729"/>
      <c r="L1274" s="734"/>
      <c r="M1274" s="729">
        <f t="shared" si="115"/>
        <v>0</v>
      </c>
      <c r="N1274" s="734"/>
      <c r="O1274" s="729">
        <f t="shared" si="116"/>
        <v>0</v>
      </c>
      <c r="P1274" s="729">
        <f t="shared" si="117"/>
        <v>0</v>
      </c>
      <c r="Q1274" s="677"/>
    </row>
    <row r="1275" spans="2:17">
      <c r="B1275" s="334"/>
      <c r="C1275" s="725">
        <f>IF(D1215="","-",+C1274+1)</f>
        <v>2071</v>
      </c>
      <c r="D1275" s="676">
        <f t="shared" si="118"/>
        <v>71778.769830507576</v>
      </c>
      <c r="E1275" s="732">
        <f t="shared" si="119"/>
        <v>11963.128305084745</v>
      </c>
      <c r="F1275" s="732">
        <f t="shared" si="112"/>
        <v>59815.641525422834</v>
      </c>
      <c r="G1275" s="676">
        <f t="shared" si="113"/>
        <v>65797.205677965205</v>
      </c>
      <c r="H1275" s="726">
        <f>+J1216*G1275+E1275</f>
        <v>19063.066551684984</v>
      </c>
      <c r="I1275" s="733">
        <f>+J1217*G1275+E1275</f>
        <v>19063.066551684984</v>
      </c>
      <c r="J1275" s="729">
        <f t="shared" si="114"/>
        <v>0</v>
      </c>
      <c r="K1275" s="729"/>
      <c r="L1275" s="734"/>
      <c r="M1275" s="729">
        <f t="shared" si="115"/>
        <v>0</v>
      </c>
      <c r="N1275" s="734"/>
      <c r="O1275" s="729">
        <f t="shared" si="116"/>
        <v>0</v>
      </c>
      <c r="P1275" s="729">
        <f t="shared" si="117"/>
        <v>0</v>
      </c>
      <c r="Q1275" s="677"/>
    </row>
    <row r="1276" spans="2:17">
      <c r="B1276" s="334"/>
      <c r="C1276" s="725">
        <f>IF(D1215="","-",+C1275+1)</f>
        <v>2072</v>
      </c>
      <c r="D1276" s="676">
        <f t="shared" si="118"/>
        <v>59815.641525422834</v>
      </c>
      <c r="E1276" s="732">
        <f t="shared" si="119"/>
        <v>11963.128305084745</v>
      </c>
      <c r="F1276" s="732">
        <f t="shared" si="112"/>
        <v>47852.513220338093</v>
      </c>
      <c r="G1276" s="676">
        <f t="shared" si="113"/>
        <v>53834.077372880463</v>
      </c>
      <c r="H1276" s="726">
        <f>+J1216*G1276+E1276</f>
        <v>17772.168688666741</v>
      </c>
      <c r="I1276" s="733">
        <f>+J1217*G1276+E1276</f>
        <v>17772.168688666741</v>
      </c>
      <c r="J1276" s="729">
        <f t="shared" si="114"/>
        <v>0</v>
      </c>
      <c r="K1276" s="729"/>
      <c r="L1276" s="734"/>
      <c r="M1276" s="729">
        <f t="shared" si="115"/>
        <v>0</v>
      </c>
      <c r="N1276" s="734"/>
      <c r="O1276" s="729">
        <f t="shared" si="116"/>
        <v>0</v>
      </c>
      <c r="P1276" s="729">
        <f t="shared" si="117"/>
        <v>0</v>
      </c>
      <c r="Q1276" s="677"/>
    </row>
    <row r="1277" spans="2:17">
      <c r="B1277" s="334"/>
      <c r="C1277" s="725">
        <f>IF(D1215="","-",+C1276+1)</f>
        <v>2073</v>
      </c>
      <c r="D1277" s="676">
        <f t="shared" si="118"/>
        <v>47852.513220338093</v>
      </c>
      <c r="E1277" s="732">
        <f t="shared" si="119"/>
        <v>11963.128305084745</v>
      </c>
      <c r="F1277" s="732">
        <f t="shared" si="112"/>
        <v>35889.384915253351</v>
      </c>
      <c r="G1277" s="676">
        <f t="shared" si="113"/>
        <v>41870.949067795722</v>
      </c>
      <c r="H1277" s="726">
        <f>+J1216*G1277+E1277</f>
        <v>16481.270825648498</v>
      </c>
      <c r="I1277" s="733">
        <f>+J1217*G1277+E1277</f>
        <v>16481.270825648498</v>
      </c>
      <c r="J1277" s="729">
        <f t="shared" si="114"/>
        <v>0</v>
      </c>
      <c r="K1277" s="729"/>
      <c r="L1277" s="734"/>
      <c r="M1277" s="729">
        <f t="shared" si="115"/>
        <v>0</v>
      </c>
      <c r="N1277" s="734"/>
      <c r="O1277" s="729">
        <f t="shared" si="116"/>
        <v>0</v>
      </c>
      <c r="P1277" s="729">
        <f t="shared" si="117"/>
        <v>0</v>
      </c>
      <c r="Q1277" s="677"/>
    </row>
    <row r="1278" spans="2:17">
      <c r="B1278" s="334"/>
      <c r="C1278" s="725">
        <f>IF(D1215="","-",+C1277+1)</f>
        <v>2074</v>
      </c>
      <c r="D1278" s="676">
        <f t="shared" si="118"/>
        <v>35889.384915253351</v>
      </c>
      <c r="E1278" s="732">
        <f t="shared" si="119"/>
        <v>11963.128305084745</v>
      </c>
      <c r="F1278" s="732">
        <f t="shared" si="112"/>
        <v>23926.256610168606</v>
      </c>
      <c r="G1278" s="676">
        <f t="shared" si="113"/>
        <v>29907.82076271098</v>
      </c>
      <c r="H1278" s="726">
        <f>+J1216*G1278+E1278</f>
        <v>15190.372962630257</v>
      </c>
      <c r="I1278" s="733">
        <f>+J1217*G1278+E1278</f>
        <v>15190.372962630257</v>
      </c>
      <c r="J1278" s="729">
        <f t="shared" si="114"/>
        <v>0</v>
      </c>
      <c r="K1278" s="729"/>
      <c r="L1278" s="734"/>
      <c r="M1278" s="729">
        <f t="shared" si="115"/>
        <v>0</v>
      </c>
      <c r="N1278" s="734"/>
      <c r="O1278" s="729">
        <f t="shared" si="116"/>
        <v>0</v>
      </c>
      <c r="P1278" s="729">
        <f t="shared" si="117"/>
        <v>0</v>
      </c>
      <c r="Q1278" s="677"/>
    </row>
    <row r="1279" spans="2:17">
      <c r="B1279" s="334"/>
      <c r="C1279" s="725">
        <f>IF(D1215="","-",+C1278+1)</f>
        <v>2075</v>
      </c>
      <c r="D1279" s="676">
        <f t="shared" si="118"/>
        <v>23926.256610168606</v>
      </c>
      <c r="E1279" s="732">
        <f t="shared" si="119"/>
        <v>11963.128305084745</v>
      </c>
      <c r="F1279" s="732">
        <f t="shared" si="112"/>
        <v>11963.128305083861</v>
      </c>
      <c r="G1279" s="676">
        <f t="shared" si="113"/>
        <v>17944.692457626232</v>
      </c>
      <c r="H1279" s="726">
        <f>+J1216*G1279+E1279</f>
        <v>13899.475099612013</v>
      </c>
      <c r="I1279" s="733">
        <f>+J1217*G1279+E1279</f>
        <v>13899.475099612013</v>
      </c>
      <c r="J1279" s="729">
        <f t="shared" si="114"/>
        <v>0</v>
      </c>
      <c r="K1279" s="729"/>
      <c r="L1279" s="734"/>
      <c r="M1279" s="729">
        <f t="shared" si="115"/>
        <v>0</v>
      </c>
      <c r="N1279" s="734"/>
      <c r="O1279" s="729">
        <f t="shared" si="116"/>
        <v>0</v>
      </c>
      <c r="P1279" s="729">
        <f t="shared" si="117"/>
        <v>0</v>
      </c>
      <c r="Q1279" s="677"/>
    </row>
    <row r="1280" spans="2:17" ht="13.5" thickBot="1">
      <c r="B1280" s="334"/>
      <c r="C1280" s="737">
        <f>IF(D1215="","-",+C1279+1)</f>
        <v>2076</v>
      </c>
      <c r="D1280" s="738">
        <f t="shared" si="118"/>
        <v>11963.128305083861</v>
      </c>
      <c r="E1280" s="1323">
        <f t="shared" si="119"/>
        <v>11963.128305083861</v>
      </c>
      <c r="F1280" s="739">
        <f t="shared" si="112"/>
        <v>0</v>
      </c>
      <c r="G1280" s="738">
        <f t="shared" si="113"/>
        <v>5981.5641525419305</v>
      </c>
      <c r="H1280" s="740">
        <f>+J1216*G1280+E1280</f>
        <v>12608.577236592935</v>
      </c>
      <c r="I1280" s="740">
        <f>+J1217*G1280+E1280</f>
        <v>12608.577236592935</v>
      </c>
      <c r="J1280" s="741">
        <f t="shared" si="114"/>
        <v>0</v>
      </c>
      <c r="K1280" s="729"/>
      <c r="L1280" s="742"/>
      <c r="M1280" s="741">
        <f t="shared" si="115"/>
        <v>0</v>
      </c>
      <c r="N1280" s="742"/>
      <c r="O1280" s="741">
        <f t="shared" si="116"/>
        <v>0</v>
      </c>
      <c r="P1280" s="741">
        <f t="shared" si="117"/>
        <v>0</v>
      </c>
      <c r="Q1280" s="677"/>
    </row>
    <row r="1281" spans="2:17">
      <c r="B1281" s="334"/>
      <c r="C1281" s="676" t="s">
        <v>289</v>
      </c>
      <c r="D1281" s="672"/>
      <c r="E1281" s="672">
        <f>SUM(E1221:E1280)</f>
        <v>705824.57</v>
      </c>
      <c r="F1281" s="672"/>
      <c r="G1281" s="672"/>
      <c r="H1281" s="672">
        <f>SUM(H1221:H1280)</f>
        <v>3028795.2745013228</v>
      </c>
      <c r="I1281" s="672">
        <f>SUM(I1221:I1280)</f>
        <v>3028795.2745013228</v>
      </c>
      <c r="J1281" s="672">
        <f>SUM(J1221:J1280)</f>
        <v>0</v>
      </c>
      <c r="K1281" s="672"/>
      <c r="L1281" s="672"/>
      <c r="M1281" s="672"/>
      <c r="N1281" s="672"/>
      <c r="O1281" s="672"/>
      <c r="Q1281" s="672"/>
    </row>
    <row r="1282" spans="2:17">
      <c r="B1282" s="334"/>
      <c r="D1282" s="566"/>
      <c r="E1282" s="543"/>
      <c r="F1282" s="543"/>
      <c r="G1282" s="543"/>
      <c r="H1282" s="543"/>
      <c r="I1282" s="649"/>
      <c r="J1282" s="649"/>
      <c r="K1282" s="672"/>
      <c r="L1282" s="649"/>
      <c r="M1282" s="649"/>
      <c r="N1282" s="649"/>
      <c r="O1282" s="649"/>
      <c r="Q1282" s="672"/>
    </row>
    <row r="1283" spans="2:17">
      <c r="B1283" s="334"/>
      <c r="C1283" s="543" t="s">
        <v>602</v>
      </c>
      <c r="D1283" s="566"/>
      <c r="E1283" s="543"/>
      <c r="F1283" s="543"/>
      <c r="G1283" s="543"/>
      <c r="H1283" s="543"/>
      <c r="I1283" s="649"/>
      <c r="J1283" s="649"/>
      <c r="K1283" s="672"/>
      <c r="L1283" s="649"/>
      <c r="M1283" s="649"/>
      <c r="N1283" s="649"/>
      <c r="O1283" s="649"/>
      <c r="Q1283" s="672"/>
    </row>
    <row r="1284" spans="2:17">
      <c r="B1284" s="334"/>
      <c r="D1284" s="566"/>
      <c r="E1284" s="543"/>
      <c r="F1284" s="543"/>
      <c r="G1284" s="543"/>
      <c r="H1284" s="543"/>
      <c r="I1284" s="649"/>
      <c r="J1284" s="649"/>
      <c r="K1284" s="672"/>
      <c r="L1284" s="649"/>
      <c r="M1284" s="649"/>
      <c r="N1284" s="649"/>
      <c r="O1284" s="649"/>
      <c r="Q1284" s="672"/>
    </row>
    <row r="1285" spans="2:17">
      <c r="B1285" s="334"/>
      <c r="C1285" s="579" t="s">
        <v>603</v>
      </c>
      <c r="D1285" s="676"/>
      <c r="E1285" s="676"/>
      <c r="F1285" s="676"/>
      <c r="G1285" s="676"/>
      <c r="H1285" s="672"/>
      <c r="I1285" s="672"/>
      <c r="J1285" s="677"/>
      <c r="K1285" s="677"/>
      <c r="L1285" s="677"/>
      <c r="M1285" s="677"/>
      <c r="N1285" s="677"/>
      <c r="O1285" s="677"/>
      <c r="Q1285" s="677"/>
    </row>
    <row r="1286" spans="2:17">
      <c r="B1286" s="334"/>
      <c r="C1286" s="579" t="s">
        <v>477</v>
      </c>
      <c r="D1286" s="676"/>
      <c r="E1286" s="676"/>
      <c r="F1286" s="676"/>
      <c r="G1286" s="676"/>
      <c r="H1286" s="672"/>
      <c r="I1286" s="672"/>
      <c r="J1286" s="677"/>
      <c r="K1286" s="677"/>
      <c r="L1286" s="677"/>
      <c r="M1286" s="677"/>
      <c r="N1286" s="677"/>
      <c r="O1286" s="677"/>
      <c r="Q1286" s="677"/>
    </row>
    <row r="1287" spans="2:17">
      <c r="B1287" s="334"/>
      <c r="C1287" s="579" t="s">
        <v>290</v>
      </c>
      <c r="D1287" s="676"/>
      <c r="E1287" s="676"/>
      <c r="F1287" s="676"/>
      <c r="G1287" s="676"/>
      <c r="H1287" s="672"/>
      <c r="I1287" s="672"/>
      <c r="J1287" s="677"/>
      <c r="K1287" s="677"/>
      <c r="L1287" s="677"/>
      <c r="M1287" s="677"/>
      <c r="N1287" s="677"/>
      <c r="O1287" s="677"/>
      <c r="Q1287" s="677"/>
    </row>
  </sheetData>
  <mergeCells count="36">
    <mergeCell ref="D779:H779"/>
    <mergeCell ref="L783:O783"/>
    <mergeCell ref="D1123:H1123"/>
    <mergeCell ref="L1127:O1127"/>
    <mergeCell ref="D865:H865"/>
    <mergeCell ref="L869:O869"/>
    <mergeCell ref="D951:H951"/>
    <mergeCell ref="L955:O955"/>
    <mergeCell ref="D1037:H1037"/>
    <mergeCell ref="L1041:O1041"/>
    <mergeCell ref="C51:D52"/>
    <mergeCell ref="D91:G91"/>
    <mergeCell ref="D177:G177"/>
    <mergeCell ref="L181:O181"/>
    <mergeCell ref="D263:G263"/>
    <mergeCell ref="A3:P3"/>
    <mergeCell ref="C11:I12"/>
    <mergeCell ref="A4:P4"/>
    <mergeCell ref="A5:P5"/>
    <mergeCell ref="A6:P6"/>
    <mergeCell ref="D1210:H1210"/>
    <mergeCell ref="L1214:O1214"/>
    <mergeCell ref="C60:D61"/>
    <mergeCell ref="C71:D72"/>
    <mergeCell ref="L95:O95"/>
    <mergeCell ref="L267:O267"/>
    <mergeCell ref="D349:G349"/>
    <mergeCell ref="L353:O353"/>
    <mergeCell ref="L439:O439"/>
    <mergeCell ref="D435:H435"/>
    <mergeCell ref="D521:H521"/>
    <mergeCell ref="L525:O525"/>
    <mergeCell ref="D607:H607"/>
    <mergeCell ref="L611:O611"/>
    <mergeCell ref="D693:H693"/>
    <mergeCell ref="L697:O697"/>
  </mergeCells>
  <phoneticPr fontId="0" type="noConversion"/>
  <conditionalFormatting sqref="C102:C161">
    <cfRule type="cellIs" dxfId="24" priority="24" stopIfTrue="1" operator="equal">
      <formula>$J$92</formula>
    </cfRule>
  </conditionalFormatting>
  <conditionalFormatting sqref="C188:C247">
    <cfRule type="cellIs" dxfId="23" priority="13" stopIfTrue="1" operator="equal">
      <formula>$J$92</formula>
    </cfRule>
  </conditionalFormatting>
  <conditionalFormatting sqref="C274:C333">
    <cfRule type="cellIs" dxfId="22" priority="12" stopIfTrue="1" operator="equal">
      <formula>$J$92</formula>
    </cfRule>
  </conditionalFormatting>
  <conditionalFormatting sqref="C360:C419">
    <cfRule type="cellIs" dxfId="21" priority="11" stopIfTrue="1" operator="equal">
      <formula>$J$92</formula>
    </cfRule>
  </conditionalFormatting>
  <conditionalFormatting sqref="C446:C505">
    <cfRule type="cellIs" dxfId="20" priority="10" stopIfTrue="1" operator="equal">
      <formula>$J$92</formula>
    </cfRule>
  </conditionalFormatting>
  <conditionalFormatting sqref="C532:C591">
    <cfRule type="cellIs" dxfId="19" priority="9" stopIfTrue="1" operator="equal">
      <formula>$J$92</formula>
    </cfRule>
  </conditionalFormatting>
  <conditionalFormatting sqref="C618:C677">
    <cfRule type="cellIs" dxfId="18" priority="8" stopIfTrue="1" operator="equal">
      <formula>$J$92</formula>
    </cfRule>
  </conditionalFormatting>
  <conditionalFormatting sqref="C704:C763">
    <cfRule type="cellIs" dxfId="17" priority="7" stopIfTrue="1" operator="equal">
      <formula>$J$92</formula>
    </cfRule>
  </conditionalFormatting>
  <conditionalFormatting sqref="C790:C849">
    <cfRule type="cellIs" dxfId="16" priority="6" stopIfTrue="1" operator="equal">
      <formula>$J$92</formula>
    </cfRule>
  </conditionalFormatting>
  <conditionalFormatting sqref="C876:C935">
    <cfRule type="cellIs" dxfId="15" priority="5" stopIfTrue="1" operator="equal">
      <formula>$J$92</formula>
    </cfRule>
  </conditionalFormatting>
  <conditionalFormatting sqref="C962:C1021">
    <cfRule type="cellIs" dxfId="14" priority="4" stopIfTrue="1" operator="equal">
      <formula>$J$92</formula>
    </cfRule>
  </conditionalFormatting>
  <conditionalFormatting sqref="C1048:C1107">
    <cfRule type="cellIs" dxfId="13" priority="3" stopIfTrue="1" operator="equal">
      <formula>$J$92</formula>
    </cfRule>
  </conditionalFormatting>
  <conditionalFormatting sqref="C1134:C1193">
    <cfRule type="cellIs" dxfId="12" priority="2" stopIfTrue="1" operator="equal">
      <formula>$J$92</formula>
    </cfRule>
  </conditionalFormatting>
  <conditionalFormatting sqref="C1221:C1280">
    <cfRule type="cellIs" dxfId="11" priority="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3" manualBreakCount="13">
    <brk id="81" max="15" man="1"/>
    <brk id="254" max="16383" man="1"/>
    <brk id="340" max="16383" man="1"/>
    <brk id="426" max="16383" man="1"/>
    <brk id="512" max="16383" man="1"/>
    <brk id="598" max="16383" man="1"/>
    <brk id="684" max="16383" man="1"/>
    <brk id="770" max="16383" man="1"/>
    <brk id="856" max="16383" man="1"/>
    <brk id="942" max="16383" man="1"/>
    <brk id="1028" max="16383" man="1"/>
    <brk id="1114" max="16383" man="1"/>
    <brk id="1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zoomScaleNormal="100" zoomScaleSheetLayoutView="100" workbookViewId="0">
      <selection activeCell="A3" sqref="A3"/>
    </sheetView>
  </sheetViews>
  <sheetFormatPr defaultRowHeight="12.75"/>
  <cols>
    <col min="1" max="1" width="9.140625" style="30"/>
    <col min="2" max="2" width="37.5703125" style="184" customWidth="1"/>
    <col min="3" max="3" width="31.5703125" style="181" customWidth="1"/>
    <col min="4" max="4" width="14.85546875" style="181" customWidth="1"/>
    <col min="5" max="5" width="18" style="181" customWidth="1"/>
    <col min="6" max="7" width="11.140625" style="181" bestFit="1" customWidth="1"/>
    <col min="8" max="8" width="11.140625" style="250" bestFit="1" customWidth="1"/>
    <col min="9" max="16384" width="9.140625" style="181"/>
  </cols>
  <sheetData>
    <row r="1" spans="1:30" ht="15.75">
      <c r="A1" s="899" t="s">
        <v>115</v>
      </c>
    </row>
    <row r="2" spans="1:30" ht="15.75">
      <c r="A2" s="899" t="s">
        <v>115</v>
      </c>
    </row>
    <row r="3" spans="1:30" ht="15">
      <c r="B3" s="1399" t="s">
        <v>388</v>
      </c>
      <c r="C3" s="1399"/>
      <c r="D3" s="1399"/>
      <c r="E3" s="1399"/>
      <c r="F3" s="1399"/>
      <c r="G3" s="38"/>
      <c r="H3" s="246"/>
      <c r="I3" s="38"/>
      <c r="J3" s="38"/>
      <c r="K3" s="38"/>
      <c r="L3" s="38"/>
      <c r="M3" s="38"/>
      <c r="N3" s="38"/>
      <c r="O3" s="38"/>
      <c r="P3" s="38"/>
    </row>
    <row r="4" spans="1:30" ht="15">
      <c r="B4" s="1400" t="str">
        <f>"Cost of Service Formula Rate Using "&amp;TCOS!L4&amp;" FF1 Balances"</f>
        <v>Cost of Service Formula Rate Using 2018 FF1 Balances</v>
      </c>
      <c r="C4" s="1400"/>
      <c r="D4" s="1400"/>
      <c r="E4" s="1400"/>
      <c r="F4" s="1400"/>
      <c r="G4" s="96"/>
      <c r="H4" s="247"/>
      <c r="I4" s="96"/>
      <c r="J4" s="96"/>
      <c r="K4" s="96"/>
      <c r="L4" s="96"/>
      <c r="M4" s="96"/>
      <c r="N4" s="96"/>
      <c r="O4" s="96"/>
      <c r="P4" s="96"/>
    </row>
    <row r="5" spans="1:30" ht="18">
      <c r="B5" s="1399" t="s">
        <v>548</v>
      </c>
      <c r="C5" s="1399"/>
      <c r="D5" s="1399"/>
      <c r="E5" s="1399"/>
      <c r="F5" s="1399"/>
      <c r="G5" s="153"/>
      <c r="H5" s="248"/>
      <c r="I5" s="153"/>
      <c r="J5" s="153"/>
      <c r="K5" s="153"/>
    </row>
    <row r="6" spans="1:30" ht="18">
      <c r="B6" s="1411" t="str">
        <f>+TCOS!F9</f>
        <v>Appalachian Power Company</v>
      </c>
      <c r="C6" s="1399"/>
      <c r="D6" s="1399"/>
      <c r="E6" s="1399"/>
      <c r="F6" s="1399"/>
      <c r="G6" s="161"/>
      <c r="H6" s="249"/>
      <c r="I6" s="161"/>
      <c r="J6" s="161"/>
      <c r="K6" s="161"/>
    </row>
    <row r="8" spans="1:30" ht="18.75" customHeight="1">
      <c r="B8" s="19"/>
      <c r="C8" s="142"/>
      <c r="D8" s="183"/>
    </row>
    <row r="10" spans="1:30" ht="18">
      <c r="B10" s="8"/>
      <c r="C10" s="8"/>
      <c r="D10" s="8"/>
      <c r="E10" s="8"/>
      <c r="F10" s="8"/>
      <c r="R10" s="152"/>
      <c r="S10" s="152"/>
      <c r="T10" s="152"/>
      <c r="U10" s="152"/>
      <c r="V10" s="152"/>
      <c r="W10" s="152"/>
      <c r="X10" s="152"/>
      <c r="Y10" s="152"/>
      <c r="Z10" s="152"/>
      <c r="AA10" s="152"/>
      <c r="AB10" s="195"/>
      <c r="AC10" s="195"/>
      <c r="AD10" s="195"/>
    </row>
    <row r="11" spans="1:30">
      <c r="A11" s="887"/>
      <c r="B11" s="182"/>
      <c r="C11" s="183"/>
    </row>
    <row r="12" spans="1:30">
      <c r="A12" s="229"/>
      <c r="B12" s="12"/>
      <c r="C12" s="12"/>
      <c r="D12" s="12"/>
      <c r="E12" s="12"/>
      <c r="F12" s="12"/>
      <c r="G12" s="11"/>
    </row>
    <row r="13" spans="1:30">
      <c r="A13" s="231"/>
      <c r="B13" s="12"/>
      <c r="C13" s="12"/>
      <c r="D13" s="12"/>
      <c r="E13" s="12"/>
      <c r="F13" s="12"/>
      <c r="G13" s="11"/>
    </row>
    <row r="14" spans="1:30">
      <c r="A14" s="268"/>
      <c r="B14" s="12"/>
      <c r="C14" s="12"/>
      <c r="D14" s="12"/>
      <c r="E14" s="12"/>
      <c r="F14" s="12"/>
      <c r="H14" s="181"/>
    </row>
    <row r="15" spans="1:30">
      <c r="A15" s="268"/>
      <c r="B15" s="12"/>
      <c r="C15" s="12"/>
      <c r="D15" s="12"/>
      <c r="E15" s="12"/>
      <c r="F15" s="12"/>
      <c r="H15" s="181"/>
    </row>
    <row r="16" spans="1:30">
      <c r="A16" s="268"/>
      <c r="B16" s="12"/>
      <c r="C16" s="12"/>
      <c r="D16" s="12"/>
      <c r="E16" s="12"/>
      <c r="F16" s="12"/>
      <c r="H16" s="181"/>
    </row>
    <row r="17" spans="1:8" ht="12.75" customHeight="1">
      <c r="A17" s="268"/>
      <c r="B17" s="12"/>
      <c r="C17" s="12"/>
      <c r="D17" s="12"/>
      <c r="E17" s="12"/>
      <c r="F17" s="12"/>
      <c r="H17" s="181"/>
    </row>
    <row r="18" spans="1:8">
      <c r="A18" s="268"/>
      <c r="B18" s="12"/>
      <c r="C18" s="12"/>
      <c r="D18" s="12"/>
      <c r="E18" s="12"/>
      <c r="F18" s="12"/>
      <c r="H18" s="181"/>
    </row>
    <row r="19" spans="1:8">
      <c r="A19" s="268"/>
      <c r="B19" s="12"/>
      <c r="C19" s="12"/>
      <c r="D19" s="12"/>
      <c r="E19" s="12"/>
      <c r="F19" s="12"/>
      <c r="H19" s="181"/>
    </row>
    <row r="20" spans="1:8">
      <c r="A20" s="268"/>
      <c r="B20" s="12"/>
      <c r="C20" s="12"/>
      <c r="D20" s="12"/>
      <c r="E20" s="12"/>
      <c r="F20" s="12"/>
      <c r="H20" s="181"/>
    </row>
    <row r="21" spans="1:8">
      <c r="A21" s="268"/>
      <c r="B21" s="12"/>
      <c r="C21" s="12"/>
      <c r="D21" s="12"/>
      <c r="E21" s="12"/>
      <c r="F21" s="12"/>
      <c r="H21" s="181"/>
    </row>
    <row r="22" spans="1:8">
      <c r="A22" s="268"/>
      <c r="B22" s="12"/>
      <c r="C22" s="12"/>
      <c r="D22" s="12"/>
      <c r="E22" s="12"/>
      <c r="F22" s="12"/>
      <c r="H22" s="181"/>
    </row>
    <row r="23" spans="1:8" ht="12.75" customHeight="1">
      <c r="A23" s="268"/>
      <c r="B23" s="12"/>
      <c r="C23" s="12"/>
      <c r="D23" s="12"/>
      <c r="E23" s="12"/>
      <c r="F23" s="12"/>
      <c r="H23" s="181"/>
    </row>
    <row r="24" spans="1:8" ht="12.75" customHeight="1">
      <c r="A24" s="268"/>
      <c r="B24" s="12"/>
      <c r="C24" s="12"/>
      <c r="D24" s="12"/>
      <c r="E24" s="12"/>
      <c r="F24" s="12"/>
      <c r="H24" s="181"/>
    </row>
    <row r="25" spans="1:8" ht="12.75" customHeight="1">
      <c r="A25" s="268"/>
      <c r="B25" s="12"/>
      <c r="C25" s="12"/>
      <c r="D25" s="12"/>
      <c r="E25" s="12"/>
      <c r="F25" s="12"/>
      <c r="H25" s="181"/>
    </row>
    <row r="26" spans="1:8" ht="12.75" customHeight="1">
      <c r="A26" s="268"/>
      <c r="B26" s="12"/>
      <c r="C26" s="12"/>
      <c r="D26" s="12"/>
      <c r="E26" s="12"/>
      <c r="F26" s="12"/>
      <c r="H26" s="181"/>
    </row>
    <row r="27" spans="1:8" ht="12.75" customHeight="1">
      <c r="A27" s="268"/>
      <c r="B27" s="12"/>
      <c r="C27" s="12"/>
      <c r="D27" s="12"/>
      <c r="E27" s="12"/>
      <c r="F27" s="12"/>
      <c r="H27" s="181"/>
    </row>
    <row r="28" spans="1:8" ht="12.75" customHeight="1">
      <c r="A28" s="268"/>
      <c r="B28" s="12"/>
      <c r="C28" s="12"/>
      <c r="D28" s="12"/>
      <c r="E28" s="12"/>
      <c r="F28" s="12"/>
      <c r="H28" s="181"/>
    </row>
    <row r="29" spans="1:8" ht="12.75" customHeight="1">
      <c r="A29" s="268"/>
      <c r="B29" s="12"/>
      <c r="C29" s="12"/>
      <c r="D29" s="12"/>
      <c r="E29" s="12"/>
      <c r="F29" s="12"/>
      <c r="H29" s="181"/>
    </row>
    <row r="30" spans="1:8" ht="12.75" customHeight="1">
      <c r="A30" s="268"/>
      <c r="B30" s="12"/>
      <c r="C30" s="12"/>
      <c r="D30" s="12"/>
      <c r="E30" s="12"/>
      <c r="F30" s="12"/>
      <c r="H30" s="181"/>
    </row>
    <row r="31" spans="1:8" ht="12.75" customHeight="1">
      <c r="A31" s="268"/>
      <c r="B31" s="12"/>
      <c r="C31" s="12"/>
      <c r="D31" s="12"/>
      <c r="E31" s="12"/>
      <c r="F31" s="12"/>
      <c r="H31" s="181"/>
    </row>
    <row r="32" spans="1:8" ht="12.75" customHeight="1">
      <c r="A32" s="268"/>
      <c r="B32" s="12"/>
      <c r="C32" s="12"/>
      <c r="D32" s="12"/>
      <c r="E32" s="12"/>
      <c r="F32" s="12"/>
      <c r="H32" s="181"/>
    </row>
    <row r="33" spans="1:8" ht="12.75" customHeight="1">
      <c r="A33" s="268"/>
      <c r="B33" s="12"/>
      <c r="C33" s="12"/>
      <c r="D33" s="12"/>
      <c r="E33" s="12"/>
      <c r="F33" s="12"/>
      <c r="H33" s="181"/>
    </row>
    <row r="34" spans="1:8" ht="12.75" customHeight="1">
      <c r="A34" s="268"/>
      <c r="B34" s="12"/>
      <c r="C34" s="12"/>
      <c r="D34" s="12"/>
      <c r="E34" s="12"/>
      <c r="F34" s="12"/>
      <c r="H34" s="181"/>
    </row>
    <row r="35" spans="1:8" ht="12.75" customHeight="1">
      <c r="A35" s="268"/>
      <c r="B35" s="12"/>
      <c r="C35" s="12"/>
      <c r="D35" s="12"/>
      <c r="E35" s="12"/>
      <c r="F35" s="12"/>
      <c r="H35" s="181"/>
    </row>
    <row r="36" spans="1:8" ht="12.75" customHeight="1">
      <c r="A36" s="268"/>
      <c r="B36" s="12"/>
      <c r="C36" s="12"/>
      <c r="D36" s="12"/>
      <c r="E36" s="12"/>
      <c r="F36" s="12"/>
      <c r="H36" s="181"/>
    </row>
    <row r="37" spans="1:8" ht="12.75" customHeight="1">
      <c r="A37" s="268"/>
      <c r="B37" s="12"/>
      <c r="C37" s="12"/>
      <c r="D37" s="12"/>
      <c r="E37" s="12"/>
      <c r="F37" s="12"/>
      <c r="H37" s="181"/>
    </row>
    <row r="38" spans="1:8" ht="12.75" customHeight="1">
      <c r="A38" s="268"/>
      <c r="B38" s="12"/>
      <c r="C38" s="12"/>
      <c r="D38" s="12"/>
      <c r="E38" s="12"/>
      <c r="F38" s="12"/>
      <c r="H38" s="181"/>
    </row>
    <row r="39" spans="1:8" ht="12.75" customHeight="1">
      <c r="A39" s="268"/>
      <c r="B39" s="12"/>
      <c r="C39" s="12"/>
      <c r="D39" s="12"/>
      <c r="E39" s="12"/>
      <c r="F39" s="12"/>
      <c r="H39" s="181"/>
    </row>
    <row r="40" spans="1:8" ht="12.75" customHeight="1">
      <c r="A40" s="268"/>
      <c r="B40" s="12"/>
      <c r="C40" s="12"/>
      <c r="D40" s="12"/>
      <c r="E40" s="12"/>
      <c r="F40" s="12"/>
      <c r="H40" s="181"/>
    </row>
    <row r="41" spans="1:8" ht="12.75" customHeight="1">
      <c r="A41" s="268"/>
      <c r="B41" s="12"/>
      <c r="C41" s="12"/>
      <c r="D41" s="12"/>
      <c r="E41" s="12"/>
      <c r="F41" s="12"/>
      <c r="H41" s="181"/>
    </row>
    <row r="42" spans="1:8" ht="12.75" customHeight="1">
      <c r="A42" s="268"/>
      <c r="B42" s="12"/>
      <c r="C42" s="12"/>
      <c r="D42" s="12"/>
      <c r="E42" s="12"/>
      <c r="F42" s="12"/>
      <c r="H42" s="181"/>
    </row>
    <row r="43" spans="1:8" ht="12.6" customHeight="1">
      <c r="A43" s="268"/>
      <c r="B43" s="12"/>
      <c r="C43" s="12"/>
      <c r="D43" s="12"/>
      <c r="E43" s="12"/>
      <c r="F43" s="12"/>
      <c r="H43" s="181"/>
    </row>
    <row r="44" spans="1:8" ht="12.75" customHeight="1">
      <c r="A44" s="268"/>
      <c r="B44" s="12"/>
      <c r="C44" s="12"/>
      <c r="D44" s="12"/>
      <c r="E44" s="12"/>
      <c r="F44" s="12"/>
      <c r="H44" s="181"/>
    </row>
    <row r="45" spans="1:8">
      <c r="B45" s="12"/>
      <c r="C45" s="12"/>
      <c r="D45" s="12"/>
      <c r="E45" s="12"/>
      <c r="F45" s="12"/>
      <c r="H45" s="181"/>
    </row>
    <row r="46" spans="1:8">
      <c r="B46" s="12"/>
      <c r="C46" s="12"/>
      <c r="D46" s="12"/>
      <c r="E46" s="12"/>
      <c r="F46" s="12"/>
      <c r="H46" s="181"/>
    </row>
    <row r="47" spans="1:8">
      <c r="B47" s="12"/>
      <c r="C47" s="12"/>
      <c r="D47" s="12"/>
      <c r="E47" s="12"/>
      <c r="F47" s="12"/>
      <c r="H47" s="181"/>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topLeftCell="A60" zoomScale="90" zoomScaleNormal="90" zoomScaleSheetLayoutView="70" zoomScalePageLayoutView="85" workbookViewId="0">
      <selection activeCell="F78" sqref="F78"/>
    </sheetView>
  </sheetViews>
  <sheetFormatPr defaultColWidth="11.42578125" defaultRowHeight="12.75"/>
  <cols>
    <col min="1" max="1" width="10.42578125" style="989" customWidth="1"/>
    <col min="2" max="2" width="52.42578125" style="970" customWidth="1"/>
    <col min="3" max="7" width="20.42578125" style="970" customWidth="1"/>
    <col min="8" max="8" width="23" style="970" customWidth="1"/>
    <col min="9" max="11" width="20.42578125" style="970" customWidth="1"/>
    <col min="12" max="12" width="20" style="970" customWidth="1"/>
    <col min="13" max="14" width="15.140625" style="970" customWidth="1"/>
    <col min="15" max="16384" width="11.42578125" style="970"/>
  </cols>
  <sheetData>
    <row r="1" spans="1:12" ht="15">
      <c r="A1" s="1399" t="s">
        <v>388</v>
      </c>
      <c r="B1" s="1399"/>
      <c r="C1" s="1399"/>
      <c r="D1" s="1399"/>
      <c r="E1" s="1399"/>
      <c r="F1" s="1399"/>
      <c r="G1" s="1399"/>
      <c r="H1" s="907"/>
    </row>
    <row r="2" spans="1:12" ht="15">
      <c r="A2" s="1400" t="str">
        <f>"Cost of Service Formula Rate Using Actual/Projected FF1 Balances"</f>
        <v>Cost of Service Formula Rate Using Actual/Projected FF1 Balances</v>
      </c>
      <c r="B2" s="1400"/>
      <c r="C2" s="1400"/>
      <c r="D2" s="1400"/>
      <c r="E2" s="1400"/>
      <c r="F2" s="1400"/>
      <c r="G2" s="1400"/>
      <c r="H2" s="971"/>
      <c r="I2" s="971"/>
      <c r="J2" s="971"/>
      <c r="L2" s="972"/>
    </row>
    <row r="3" spans="1:12" ht="15">
      <c r="A3" s="1400" t="s">
        <v>686</v>
      </c>
      <c r="B3" s="1400"/>
      <c r="C3" s="1400"/>
      <c r="D3" s="1400"/>
      <c r="E3" s="1400"/>
      <c r="F3" s="1400"/>
      <c r="G3" s="1400"/>
      <c r="H3" s="971"/>
      <c r="I3" s="971"/>
      <c r="J3" s="971"/>
    </row>
    <row r="4" spans="1:12" ht="15">
      <c r="A4" s="1407" t="str">
        <f>TCOS!F9</f>
        <v>Appalachian Power Company</v>
      </c>
      <c r="B4" s="1407"/>
      <c r="C4" s="1407"/>
      <c r="D4" s="1407"/>
      <c r="E4" s="1407"/>
      <c r="F4" s="1407"/>
      <c r="G4" s="1407"/>
      <c r="H4" s="971"/>
      <c r="I4" s="971"/>
      <c r="J4" s="971"/>
    </row>
    <row r="5" spans="1:12">
      <c r="A5" s="971"/>
      <c r="B5" s="973"/>
      <c r="C5" s="973"/>
      <c r="D5" s="973"/>
      <c r="E5" s="974"/>
      <c r="F5" s="975"/>
      <c r="H5"/>
      <c r="I5"/>
      <c r="J5"/>
      <c r="K5"/>
      <c r="L5"/>
    </row>
    <row r="6" spans="1:12" ht="12.75" customHeight="1">
      <c r="A6" s="907"/>
      <c r="B6" s="953"/>
      <c r="C6" s="1401" t="s">
        <v>6</v>
      </c>
      <c r="D6" s="1402"/>
      <c r="E6" s="1402"/>
      <c r="F6" s="1402"/>
      <c r="G6" s="1403"/>
      <c r="H6" s="6"/>
      <c r="I6"/>
      <c r="J6"/>
      <c r="K6"/>
      <c r="L6"/>
    </row>
    <row r="7" spans="1:12" s="977" customFormat="1" ht="38.25">
      <c r="A7" s="952" t="s">
        <v>660</v>
      </c>
      <c r="B7" s="951" t="s">
        <v>659</v>
      </c>
      <c r="C7" s="930" t="s">
        <v>687</v>
      </c>
      <c r="D7" s="929" t="s">
        <v>369</v>
      </c>
      <c r="E7" s="929" t="s">
        <v>688</v>
      </c>
      <c r="F7" s="929" t="s">
        <v>689</v>
      </c>
      <c r="G7" s="976" t="s">
        <v>6</v>
      </c>
      <c r="H7" s="6"/>
      <c r="I7"/>
      <c r="J7"/>
      <c r="K7"/>
      <c r="L7"/>
    </row>
    <row r="8" spans="1:12" s="979" customFormat="1">
      <c r="A8" s="918"/>
      <c r="B8" s="926" t="s">
        <v>654</v>
      </c>
      <c r="C8" s="927" t="s">
        <v>653</v>
      </c>
      <c r="D8" s="925" t="s">
        <v>652</v>
      </c>
      <c r="E8" s="925" t="s">
        <v>651</v>
      </c>
      <c r="F8" s="925" t="s">
        <v>650</v>
      </c>
      <c r="G8" s="978" t="s">
        <v>690</v>
      </c>
      <c r="H8" s="6"/>
      <c r="I8"/>
      <c r="J8"/>
      <c r="K8"/>
      <c r="L8"/>
    </row>
    <row r="9" spans="1:12" s="979" customFormat="1" ht="44.25" customHeight="1">
      <c r="A9" s="918"/>
      <c r="B9" s="926" t="s">
        <v>649</v>
      </c>
      <c r="C9" s="980" t="s">
        <v>691</v>
      </c>
      <c r="D9" s="948" t="s">
        <v>692</v>
      </c>
      <c r="E9" s="948" t="s">
        <v>693</v>
      </c>
      <c r="F9" s="948" t="s">
        <v>694</v>
      </c>
      <c r="G9" s="1322"/>
      <c r="H9" s="6"/>
      <c r="I9"/>
      <c r="J9"/>
      <c r="K9"/>
      <c r="L9"/>
    </row>
    <row r="10" spans="1:12">
      <c r="A10" s="918">
        <v>1</v>
      </c>
      <c r="B10" s="945" t="s">
        <v>647</v>
      </c>
      <c r="C10" s="981">
        <v>3804481343</v>
      </c>
      <c r="D10" s="981"/>
      <c r="E10" s="981">
        <v>-3524449</v>
      </c>
      <c r="F10" s="981">
        <v>1354510</v>
      </c>
      <c r="G10" s="982">
        <f>+C10-D10-E10-F10</f>
        <v>3806651282</v>
      </c>
      <c r="H10" s="6"/>
      <c r="I10"/>
      <c r="J10"/>
      <c r="K10"/>
      <c r="L10"/>
    </row>
    <row r="11" spans="1:12">
      <c r="A11" s="918">
        <f t="shared" ref="A11:A23" si="0">+A10+1</f>
        <v>2</v>
      </c>
      <c r="B11" s="945" t="s">
        <v>186</v>
      </c>
      <c r="C11" s="981">
        <v>3857075402.0140004</v>
      </c>
      <c r="D11" s="981"/>
      <c r="E11" s="981">
        <v>-3524448.7199999997</v>
      </c>
      <c r="F11" s="981">
        <v>1293359.7899999998</v>
      </c>
      <c r="G11" s="982">
        <f t="shared" ref="G11:G22" si="1">+C11-D11-E11-F11</f>
        <v>3859306490.9440002</v>
      </c>
      <c r="H11" s="6"/>
      <c r="I11"/>
      <c r="J11"/>
      <c r="K11"/>
      <c r="L11"/>
    </row>
    <row r="12" spans="1:12">
      <c r="A12" s="918">
        <f t="shared" si="0"/>
        <v>3</v>
      </c>
      <c r="B12" s="944" t="s">
        <v>560</v>
      </c>
      <c r="C12" s="981">
        <v>3852218535.2689991</v>
      </c>
      <c r="D12" s="981"/>
      <c r="E12" s="981">
        <v>-3463212.63</v>
      </c>
      <c r="F12" s="981">
        <v>1669752.7999999996</v>
      </c>
      <c r="G12" s="982">
        <f t="shared" si="1"/>
        <v>3854011995.098999</v>
      </c>
      <c r="H12" s="6"/>
      <c r="I12"/>
      <c r="J12"/>
      <c r="K12"/>
      <c r="L12"/>
    </row>
    <row r="13" spans="1:12">
      <c r="A13" s="918">
        <f t="shared" si="0"/>
        <v>4</v>
      </c>
      <c r="B13" s="944" t="s">
        <v>646</v>
      </c>
      <c r="C13" s="981">
        <v>3889499031.1879964</v>
      </c>
      <c r="D13" s="981"/>
      <c r="E13" s="981">
        <v>-3463212.63</v>
      </c>
      <c r="F13" s="981">
        <v>641606.46999999881</v>
      </c>
      <c r="G13" s="982">
        <f t="shared" si="1"/>
        <v>3892320637.3479967</v>
      </c>
      <c r="H13" s="6"/>
      <c r="I13"/>
      <c r="J13"/>
      <c r="K13"/>
      <c r="L13"/>
    </row>
    <row r="14" spans="1:12">
      <c r="A14" s="918">
        <f t="shared" si="0"/>
        <v>5</v>
      </c>
      <c r="B14" s="944" t="s">
        <v>188</v>
      </c>
      <c r="C14" s="981">
        <v>3904103708.683001</v>
      </c>
      <c r="D14" s="981"/>
      <c r="E14" s="981">
        <v>-3463212.63</v>
      </c>
      <c r="F14" s="981">
        <v>567284.94999999902</v>
      </c>
      <c r="G14" s="982">
        <f t="shared" si="1"/>
        <v>3906999636.3630013</v>
      </c>
      <c r="H14" s="6"/>
      <c r="I14"/>
      <c r="J14"/>
      <c r="K14"/>
      <c r="L14"/>
    </row>
    <row r="15" spans="1:12">
      <c r="A15" s="918">
        <f t="shared" si="0"/>
        <v>6</v>
      </c>
      <c r="B15" s="944" t="s">
        <v>189</v>
      </c>
      <c r="C15" s="981">
        <v>3905096374.8709998</v>
      </c>
      <c r="D15" s="981"/>
      <c r="E15" s="981">
        <v>-3463212.63</v>
      </c>
      <c r="F15" s="981">
        <v>492963.42999999877</v>
      </c>
      <c r="G15" s="982">
        <f t="shared" si="1"/>
        <v>3908066624.0710001</v>
      </c>
      <c r="H15" s="6"/>
      <c r="I15"/>
      <c r="J15"/>
      <c r="K15"/>
      <c r="L15"/>
    </row>
    <row r="16" spans="1:12">
      <c r="A16" s="918">
        <f t="shared" si="0"/>
        <v>7</v>
      </c>
      <c r="B16" s="944" t="s">
        <v>383</v>
      </c>
      <c r="C16" s="981">
        <v>3925918970.7610016</v>
      </c>
      <c r="D16" s="981"/>
      <c r="E16" s="981">
        <v>-3463212.63</v>
      </c>
      <c r="F16" s="981">
        <v>-363059.21000000043</v>
      </c>
      <c r="G16" s="982">
        <f t="shared" si="1"/>
        <v>3929745242.6010017</v>
      </c>
      <c r="H16" s="6"/>
      <c r="I16"/>
      <c r="J16"/>
      <c r="K16"/>
      <c r="L16"/>
    </row>
    <row r="17" spans="1:12">
      <c r="A17" s="918">
        <f t="shared" si="0"/>
        <v>8</v>
      </c>
      <c r="B17" s="944" t="s">
        <v>190</v>
      </c>
      <c r="C17" s="981">
        <v>3948372236.6429954</v>
      </c>
      <c r="D17" s="981"/>
      <c r="E17" s="981">
        <v>-3463212.63</v>
      </c>
      <c r="F17" s="981">
        <v>-437380.73000000045</v>
      </c>
      <c r="G17" s="982">
        <f t="shared" si="1"/>
        <v>3952272830.0029955</v>
      </c>
      <c r="H17" s="6"/>
      <c r="I17"/>
      <c r="J17"/>
      <c r="K17"/>
      <c r="L17"/>
    </row>
    <row r="18" spans="1:12">
      <c r="A18" s="918">
        <f t="shared" si="0"/>
        <v>9</v>
      </c>
      <c r="B18" s="944" t="s">
        <v>645</v>
      </c>
      <c r="C18" s="981">
        <v>3949699631.2899981</v>
      </c>
      <c r="D18" s="981"/>
      <c r="E18" s="981">
        <v>-3463212.63</v>
      </c>
      <c r="F18" s="981">
        <v>-511702.25000000047</v>
      </c>
      <c r="G18" s="982">
        <f t="shared" si="1"/>
        <v>3953674546.1699982</v>
      </c>
      <c r="H18" s="6"/>
      <c r="I18"/>
      <c r="J18"/>
      <c r="K18"/>
      <c r="L18"/>
    </row>
    <row r="19" spans="1:12">
      <c r="A19" s="918">
        <f t="shared" si="0"/>
        <v>10</v>
      </c>
      <c r="B19" s="944" t="s">
        <v>193</v>
      </c>
      <c r="C19" s="981">
        <v>3971961238.5739999</v>
      </c>
      <c r="D19" s="981"/>
      <c r="E19" s="981">
        <v>-3463212.63</v>
      </c>
      <c r="F19" s="981">
        <v>-1367724.8999999997</v>
      </c>
      <c r="G19" s="982">
        <f t="shared" si="1"/>
        <v>3976792176.1040001</v>
      </c>
      <c r="H19" s="6"/>
      <c r="I19"/>
      <c r="J19"/>
      <c r="K19"/>
      <c r="L19"/>
    </row>
    <row r="20" spans="1:12">
      <c r="A20" s="918">
        <f t="shared" si="0"/>
        <v>11</v>
      </c>
      <c r="B20" s="944" t="s">
        <v>561</v>
      </c>
      <c r="C20" s="981">
        <v>3992520613.2199998</v>
      </c>
      <c r="D20" s="981"/>
      <c r="E20" s="981">
        <v>-3463212.63</v>
      </c>
      <c r="F20" s="981">
        <v>-1442046.4299999997</v>
      </c>
      <c r="G20" s="982">
        <f t="shared" si="1"/>
        <v>3997425872.2799997</v>
      </c>
      <c r="H20" s="6"/>
      <c r="I20"/>
      <c r="J20"/>
      <c r="K20"/>
      <c r="L20"/>
    </row>
    <row r="21" spans="1:12">
      <c r="A21" s="918">
        <f t="shared" si="0"/>
        <v>12</v>
      </c>
      <c r="B21" s="944" t="s">
        <v>562</v>
      </c>
      <c r="C21" s="981">
        <v>3968127669.1310005</v>
      </c>
      <c r="D21" s="981"/>
      <c r="E21" s="981">
        <v>-3463212.63</v>
      </c>
      <c r="F21" s="981">
        <v>-1516367.9599999997</v>
      </c>
      <c r="G21" s="982">
        <f t="shared" si="1"/>
        <v>3973107249.7210007</v>
      </c>
      <c r="H21" s="6"/>
      <c r="I21"/>
      <c r="J21"/>
      <c r="K21"/>
      <c r="L21"/>
    </row>
    <row r="22" spans="1:12">
      <c r="A22" s="916">
        <f t="shared" si="0"/>
        <v>13</v>
      </c>
      <c r="B22" s="943" t="s">
        <v>644</v>
      </c>
      <c r="C22" s="981">
        <v>4006253055.8850026</v>
      </c>
      <c r="D22" s="981"/>
      <c r="E22" s="981">
        <v>-3463212.63</v>
      </c>
      <c r="F22" s="981">
        <v>-4942664.5999999987</v>
      </c>
      <c r="G22" s="982">
        <f t="shared" si="1"/>
        <v>4014658933.1150026</v>
      </c>
      <c r="H22" s="6"/>
      <c r="I22"/>
      <c r="J22"/>
      <c r="K22"/>
      <c r="L22"/>
    </row>
    <row r="23" spans="1:12" ht="13.5" thickBot="1">
      <c r="A23" s="941">
        <f t="shared" si="0"/>
        <v>14</v>
      </c>
      <c r="B23" s="940" t="s">
        <v>879</v>
      </c>
      <c r="C23" s="910">
        <f>SUM(C10:C22)/13</f>
        <v>3921179062.3483834</v>
      </c>
      <c r="D23" s="909">
        <f>SUM(D10:D22)/13</f>
        <v>0</v>
      </c>
      <c r="E23" s="909">
        <f>SUM(E10:E22)/13</f>
        <v>-3472633.5884615388</v>
      </c>
      <c r="F23" s="909">
        <f>SUM(F10:F22)/13</f>
        <v>-350882.20307692321</v>
      </c>
      <c r="G23" s="983">
        <f>SUM(G10:G22)/13</f>
        <v>3925002578.1399226</v>
      </c>
      <c r="H23" s="6"/>
      <c r="I23"/>
      <c r="J23"/>
      <c r="K23"/>
      <c r="L23"/>
    </row>
    <row r="24" spans="1:12" ht="13.5" thickTop="1">
      <c r="A24" s="907"/>
      <c r="B24" s="906"/>
      <c r="C24" s="937"/>
      <c r="D24" s="904"/>
      <c r="E24" s="904"/>
      <c r="F24" s="904"/>
      <c r="G24" s="937"/>
      <c r="H24" s="937"/>
      <c r="I24"/>
      <c r="J24"/>
      <c r="K24"/>
      <c r="L24"/>
    </row>
    <row r="25" spans="1:12" ht="12.75" customHeight="1">
      <c r="A25" s="907"/>
      <c r="B25" s="953"/>
      <c r="C25" s="1453" t="s">
        <v>695</v>
      </c>
      <c r="D25" s="1454"/>
      <c r="E25" s="1454"/>
      <c r="F25" s="1454"/>
      <c r="G25" s="1454"/>
      <c r="H25" s="1455"/>
      <c r="I25"/>
      <c r="J25"/>
      <c r="K25"/>
      <c r="L25"/>
    </row>
    <row r="26" spans="1:12" s="977" customFormat="1" ht="38.25">
      <c r="A26" s="952" t="s">
        <v>660</v>
      </c>
      <c r="B26" s="951" t="s">
        <v>659</v>
      </c>
      <c r="C26" s="930" t="s">
        <v>707</v>
      </c>
      <c r="D26" s="929" t="s">
        <v>706</v>
      </c>
      <c r="E26" s="929" t="s">
        <v>705</v>
      </c>
      <c r="F26" s="929" t="s">
        <v>704</v>
      </c>
      <c r="G26" s="929" t="s">
        <v>696</v>
      </c>
      <c r="H26" s="976" t="s">
        <v>640</v>
      </c>
      <c r="I26"/>
      <c r="J26"/>
      <c r="K26"/>
      <c r="L26"/>
    </row>
    <row r="27" spans="1:12" s="979" customFormat="1">
      <c r="A27" s="918"/>
      <c r="B27" s="926" t="s">
        <v>654</v>
      </c>
      <c r="C27" s="927" t="s">
        <v>653</v>
      </c>
      <c r="D27" s="925" t="s">
        <v>652</v>
      </c>
      <c r="E27" s="925" t="s">
        <v>651</v>
      </c>
      <c r="F27" s="925" t="s">
        <v>650</v>
      </c>
      <c r="G27" s="925" t="s">
        <v>672</v>
      </c>
      <c r="H27" s="978" t="s">
        <v>697</v>
      </c>
      <c r="I27"/>
      <c r="J27"/>
      <c r="K27"/>
      <c r="L27"/>
    </row>
    <row r="28" spans="1:12" s="979" customFormat="1" ht="44.25" customHeight="1">
      <c r="A28" s="918"/>
      <c r="B28" s="926" t="s">
        <v>649</v>
      </c>
      <c r="C28" s="980" t="s">
        <v>698</v>
      </c>
      <c r="D28" s="948" t="s">
        <v>699</v>
      </c>
      <c r="E28" s="948" t="s">
        <v>700</v>
      </c>
      <c r="F28" s="948" t="s">
        <v>701</v>
      </c>
      <c r="G28" s="948" t="s">
        <v>702</v>
      </c>
      <c r="H28" s="984"/>
      <c r="I28"/>
      <c r="J28"/>
      <c r="K28"/>
      <c r="L28"/>
    </row>
    <row r="29" spans="1:12">
      <c r="A29" s="918">
        <f>+A23+1</f>
        <v>15</v>
      </c>
      <c r="B29" s="945" t="s">
        <v>647</v>
      </c>
      <c r="C29" s="981">
        <v>298676142.38999999</v>
      </c>
      <c r="D29" s="981">
        <v>104375000</v>
      </c>
      <c r="E29" s="981"/>
      <c r="F29" s="981">
        <v>3820691862.5500002</v>
      </c>
      <c r="G29" s="981"/>
      <c r="H29" s="982">
        <f t="shared" ref="H29:H41" si="2">+C29-D29+E29+F29-G29</f>
        <v>4014993004.9400001</v>
      </c>
      <c r="I29"/>
      <c r="J29"/>
      <c r="K29"/>
      <c r="L29"/>
    </row>
    <row r="30" spans="1:12">
      <c r="A30" s="918">
        <f t="shared" ref="A30:A42" si="3">+A29+1</f>
        <v>16</v>
      </c>
      <c r="B30" s="945" t="s">
        <v>186</v>
      </c>
      <c r="C30" s="981">
        <v>298676142.39000005</v>
      </c>
      <c r="D30" s="981">
        <v>104375000</v>
      </c>
      <c r="E30" s="888"/>
      <c r="F30" s="981">
        <v>3820687433.8200002</v>
      </c>
      <c r="G30" s="981"/>
      <c r="H30" s="982">
        <f t="shared" si="2"/>
        <v>4014988576.21</v>
      </c>
      <c r="I30"/>
      <c r="J30"/>
      <c r="K30"/>
      <c r="L30"/>
    </row>
    <row r="31" spans="1:12">
      <c r="A31" s="918">
        <f t="shared" si="3"/>
        <v>17</v>
      </c>
      <c r="B31" s="944" t="s">
        <v>560</v>
      </c>
      <c r="C31" s="981">
        <v>286967349.20999998</v>
      </c>
      <c r="D31" s="981">
        <v>104375000</v>
      </c>
      <c r="E31" s="888"/>
      <c r="F31" s="981">
        <v>3820682954.0900002</v>
      </c>
      <c r="G31" s="981"/>
      <c r="H31" s="982">
        <f t="shared" si="2"/>
        <v>4003275303.3000002</v>
      </c>
      <c r="I31"/>
      <c r="J31"/>
      <c r="K31"/>
      <c r="L31"/>
    </row>
    <row r="32" spans="1:12">
      <c r="A32" s="918">
        <f t="shared" si="3"/>
        <v>18</v>
      </c>
      <c r="B32" s="944" t="s">
        <v>646</v>
      </c>
      <c r="C32" s="981">
        <v>286967349.20999998</v>
      </c>
      <c r="D32" s="981">
        <v>104375000</v>
      </c>
      <c r="E32" s="888"/>
      <c r="F32" s="981">
        <v>3820678423.3600001</v>
      </c>
      <c r="G32" s="981"/>
      <c r="H32" s="982">
        <f t="shared" si="2"/>
        <v>4003270772.5700002</v>
      </c>
      <c r="I32"/>
      <c r="J32"/>
      <c r="K32"/>
      <c r="L32"/>
    </row>
    <row r="33" spans="1:12">
      <c r="A33" s="918">
        <f t="shared" si="3"/>
        <v>19</v>
      </c>
      <c r="B33" s="944" t="s">
        <v>188</v>
      </c>
      <c r="C33" s="981">
        <v>286967349.20999998</v>
      </c>
      <c r="D33" s="981">
        <v>104375000</v>
      </c>
      <c r="E33" s="888"/>
      <c r="F33" s="981">
        <v>3820673840.6300001</v>
      </c>
      <c r="G33" s="981"/>
      <c r="H33" s="982">
        <f t="shared" si="2"/>
        <v>4003266189.8400002</v>
      </c>
      <c r="I33"/>
      <c r="J33"/>
      <c r="K33"/>
      <c r="L33"/>
    </row>
    <row r="34" spans="1:12">
      <c r="A34" s="918">
        <f t="shared" si="3"/>
        <v>20</v>
      </c>
      <c r="B34" s="944" t="s">
        <v>189</v>
      </c>
      <c r="C34" s="981">
        <v>286967349.20999998</v>
      </c>
      <c r="D34" s="981">
        <v>0</v>
      </c>
      <c r="E34" s="888"/>
      <c r="F34" s="981">
        <v>3820669205.9000001</v>
      </c>
      <c r="G34" s="981"/>
      <c r="H34" s="982">
        <f t="shared" si="2"/>
        <v>4107636555.1100001</v>
      </c>
      <c r="I34"/>
      <c r="J34"/>
      <c r="K34"/>
      <c r="L34"/>
    </row>
    <row r="35" spans="1:12">
      <c r="A35" s="918">
        <f t="shared" si="3"/>
        <v>21</v>
      </c>
      <c r="B35" s="944" t="s">
        <v>383</v>
      </c>
      <c r="C35" s="981">
        <v>286967349.20999998</v>
      </c>
      <c r="D35" s="981">
        <v>0</v>
      </c>
      <c r="E35" s="888"/>
      <c r="F35" s="981">
        <v>3820664518.1700001</v>
      </c>
      <c r="G35" s="981"/>
      <c r="H35" s="982">
        <f t="shared" si="2"/>
        <v>4107631867.3800001</v>
      </c>
      <c r="I35"/>
      <c r="J35"/>
      <c r="K35"/>
      <c r="L35"/>
    </row>
    <row r="36" spans="1:12">
      <c r="A36" s="918">
        <f t="shared" si="3"/>
        <v>22</v>
      </c>
      <c r="B36" s="944" t="s">
        <v>190</v>
      </c>
      <c r="C36" s="981">
        <v>286967349.20999998</v>
      </c>
      <c r="D36" s="981">
        <v>0</v>
      </c>
      <c r="E36" s="888"/>
      <c r="F36" s="981">
        <v>3820659776.4400001</v>
      </c>
      <c r="G36" s="981"/>
      <c r="H36" s="982">
        <f t="shared" si="2"/>
        <v>4107627125.6500001</v>
      </c>
      <c r="I36"/>
      <c r="J36"/>
      <c r="K36"/>
      <c r="L36"/>
    </row>
    <row r="37" spans="1:12">
      <c r="A37" s="918">
        <f t="shared" si="3"/>
        <v>23</v>
      </c>
      <c r="B37" s="944" t="s">
        <v>645</v>
      </c>
      <c r="C37" s="981">
        <v>274760610.21999997</v>
      </c>
      <c r="D37" s="981">
        <v>0</v>
      </c>
      <c r="E37" s="888"/>
      <c r="F37" s="981">
        <v>3820654980.71</v>
      </c>
      <c r="G37" s="981"/>
      <c r="H37" s="982">
        <f t="shared" si="2"/>
        <v>4095415590.9299998</v>
      </c>
      <c r="I37"/>
      <c r="J37"/>
      <c r="K37"/>
      <c r="L37"/>
    </row>
    <row r="38" spans="1:12">
      <c r="A38" s="918">
        <f t="shared" si="3"/>
        <v>24</v>
      </c>
      <c r="B38" s="944" t="s">
        <v>193</v>
      </c>
      <c r="C38" s="981">
        <v>274760610.21999997</v>
      </c>
      <c r="D38" s="981">
        <v>0</v>
      </c>
      <c r="E38" s="888"/>
      <c r="F38" s="981">
        <v>3820650129.9800005</v>
      </c>
      <c r="G38" s="981"/>
      <c r="H38" s="982">
        <f t="shared" si="2"/>
        <v>4095410740.2000003</v>
      </c>
      <c r="I38"/>
      <c r="J38"/>
      <c r="K38"/>
      <c r="L38"/>
    </row>
    <row r="39" spans="1:12">
      <c r="A39" s="918">
        <f t="shared" si="3"/>
        <v>25</v>
      </c>
      <c r="B39" s="944" t="s">
        <v>561</v>
      </c>
      <c r="C39" s="981">
        <v>274760610.21999997</v>
      </c>
      <c r="D39" s="981">
        <v>0</v>
      </c>
      <c r="E39" s="888"/>
      <c r="F39" s="981">
        <v>3820645224.25</v>
      </c>
      <c r="G39" s="981"/>
      <c r="H39" s="982">
        <f t="shared" si="2"/>
        <v>4095405834.4699998</v>
      </c>
      <c r="I39"/>
      <c r="J39"/>
      <c r="K39"/>
      <c r="L39"/>
    </row>
    <row r="40" spans="1:12">
      <c r="A40" s="918">
        <f t="shared" si="3"/>
        <v>26</v>
      </c>
      <c r="B40" s="944" t="s">
        <v>562</v>
      </c>
      <c r="C40" s="981">
        <v>274760610.21999997</v>
      </c>
      <c r="D40" s="981">
        <v>0</v>
      </c>
      <c r="E40" s="888"/>
      <c r="F40" s="981">
        <v>3820640262.5200005</v>
      </c>
      <c r="G40" s="981"/>
      <c r="H40" s="982">
        <f t="shared" si="2"/>
        <v>4095400872.7400002</v>
      </c>
      <c r="I40"/>
      <c r="J40"/>
      <c r="K40"/>
      <c r="L40"/>
    </row>
    <row r="41" spans="1:12">
      <c r="A41" s="916">
        <f t="shared" si="3"/>
        <v>27</v>
      </c>
      <c r="B41" s="943" t="s">
        <v>644</v>
      </c>
      <c r="C41" s="981">
        <v>274760610.21999997</v>
      </c>
      <c r="D41" s="981">
        <v>0</v>
      </c>
      <c r="E41" s="888"/>
      <c r="F41" s="981">
        <v>3820635243.79</v>
      </c>
      <c r="G41" s="981"/>
      <c r="H41" s="982">
        <f t="shared" si="2"/>
        <v>4095395854.0099998</v>
      </c>
      <c r="I41"/>
      <c r="J41"/>
      <c r="K41"/>
      <c r="L41"/>
    </row>
    <row r="42" spans="1:12" ht="13.5" thickBot="1">
      <c r="A42" s="941">
        <f t="shared" si="3"/>
        <v>28</v>
      </c>
      <c r="B42" s="940" t="s">
        <v>879</v>
      </c>
      <c r="C42" s="910">
        <f t="shared" ref="C42:H42" si="4">SUM(C29:C41)/13</f>
        <v>284073802.39538455</v>
      </c>
      <c r="D42" s="909">
        <f t="shared" si="4"/>
        <v>40144230.769230768</v>
      </c>
      <c r="E42" s="909">
        <f t="shared" si="4"/>
        <v>0</v>
      </c>
      <c r="F42" s="909">
        <f t="shared" si="4"/>
        <v>3820664142.7853856</v>
      </c>
      <c r="G42" s="909">
        <f t="shared" si="4"/>
        <v>0</v>
      </c>
      <c r="H42" s="983">
        <f t="shared" si="4"/>
        <v>4064593714.4115381</v>
      </c>
      <c r="I42"/>
      <c r="J42"/>
      <c r="K42"/>
      <c r="L42"/>
    </row>
    <row r="43" spans="1:12" ht="13.5" thickTop="1">
      <c r="A43" s="971"/>
      <c r="B43" s="985"/>
      <c r="C43" s="986"/>
      <c r="D43" s="987"/>
      <c r="E43" s="987"/>
      <c r="F43" s="987"/>
      <c r="G43" s="986"/>
      <c r="H43" s="986"/>
      <c r="I43"/>
      <c r="J43"/>
      <c r="K43"/>
      <c r="L43"/>
    </row>
    <row r="44" spans="1:12" ht="12.75" customHeight="1">
      <c r="A44" s="988" t="s">
        <v>703</v>
      </c>
      <c r="F44" s="586"/>
      <c r="G44" s="586"/>
      <c r="H44" s="586"/>
      <c r="I44"/>
      <c r="J44"/>
      <c r="K44"/>
    </row>
    <row r="45" spans="1:12">
      <c r="E45" s="586"/>
      <c r="F45" s="586"/>
      <c r="G45" s="586"/>
      <c r="H45" s="586"/>
      <c r="J45" s="985"/>
    </row>
    <row r="46" spans="1:12" ht="15">
      <c r="A46" s="990" t="s">
        <v>7</v>
      </c>
      <c r="E46" s="586"/>
      <c r="F46" s="586"/>
      <c r="G46" s="586"/>
      <c r="H46" s="907"/>
    </row>
    <row r="47" spans="1:12" ht="15">
      <c r="A47" s="990"/>
      <c r="B47" s="991" t="s">
        <v>654</v>
      </c>
      <c r="C47" s="991" t="s">
        <v>653</v>
      </c>
      <c r="D47" s="992" t="s">
        <v>652</v>
      </c>
      <c r="E47" s="991" t="s">
        <v>651</v>
      </c>
      <c r="F47" s="992" t="s">
        <v>650</v>
      </c>
      <c r="G47" s="991" t="s">
        <v>672</v>
      </c>
      <c r="H47" s="991" t="s">
        <v>673</v>
      </c>
    </row>
    <row r="48" spans="1:12">
      <c r="A48" s="659">
        <f>+A42+1</f>
        <v>29</v>
      </c>
      <c r="B48" s="993" t="str">
        <f>"Annual Interest Expense for "&amp;TCOS!L4</f>
        <v>Annual Interest Expense for 2018</v>
      </c>
      <c r="C48" s="994"/>
      <c r="D48" s="995"/>
      <c r="E48" s="996"/>
      <c r="F48" s="996"/>
      <c r="G48" s="996"/>
      <c r="H48" s="996"/>
      <c r="I48" s="996"/>
      <c r="J48" s="996"/>
      <c r="K48" s="996"/>
      <c r="L48" s="996"/>
    </row>
    <row r="49" spans="1:12">
      <c r="A49" s="659">
        <f t="shared" ref="A49:A56" si="5">+A48+1</f>
        <v>30</v>
      </c>
      <c r="B49" s="1144" t="s">
        <v>775</v>
      </c>
      <c r="C49" s="994"/>
      <c r="D49" s="995"/>
      <c r="E49" s="998">
        <v>185758245</v>
      </c>
      <c r="F49" s="996"/>
      <c r="G49" s="996"/>
      <c r="H49" s="996"/>
      <c r="I49" s="996"/>
      <c r="J49" s="996"/>
      <c r="K49" s="996"/>
      <c r="L49" s="996"/>
    </row>
    <row r="50" spans="1:12" ht="28.5" customHeight="1">
      <c r="A50" s="659">
        <f t="shared" si="5"/>
        <v>31</v>
      </c>
      <c r="B50" s="1447" t="str">
        <f>"Less: Total Hedge Gain/Expense Accumulated from p 256-257, col. (i) of FERC Form 1  included in Ln "&amp;A49&amp;" and shown in "&amp;A74&amp;" below."</f>
        <v>Less: Total Hedge Gain/Expense Accumulated from p 256-257, col. (i) of FERC Form 1  included in Ln 30 and shown in 50 below.</v>
      </c>
      <c r="C50" s="1448"/>
      <c r="D50" s="995"/>
      <c r="E50" s="994">
        <f>+C74</f>
        <v>-1128834.2240556497</v>
      </c>
      <c r="F50" s="996"/>
      <c r="G50" s="996"/>
      <c r="H50" s="996"/>
      <c r="I50" s="996"/>
      <c r="J50" s="996"/>
      <c r="K50" s="996"/>
      <c r="L50" s="996"/>
    </row>
    <row r="51" spans="1:12" ht="16.5" customHeight="1">
      <c r="A51" s="659">
        <f t="shared" si="5"/>
        <v>32</v>
      </c>
      <c r="B51" s="999" t="str">
        <f>"Plus:  Allowed Hedge Recovery From Ln "&amp;A80&amp;"  below."</f>
        <v>Plus:  Allowed Hedge Recovery From Ln 55  below.</v>
      </c>
      <c r="C51" s="1145"/>
      <c r="D51" s="995"/>
      <c r="E51" s="1000">
        <f>+E80</f>
        <v>-1128834.2240556497</v>
      </c>
      <c r="F51" s="996"/>
      <c r="G51" s="996"/>
      <c r="H51" s="996"/>
      <c r="I51" s="996"/>
      <c r="J51" s="996"/>
      <c r="K51" s="996"/>
      <c r="L51" s="996"/>
    </row>
    <row r="52" spans="1:12">
      <c r="A52" s="659">
        <f t="shared" si="5"/>
        <v>33</v>
      </c>
      <c r="B52" s="1144" t="s">
        <v>776</v>
      </c>
      <c r="C52" s="1146"/>
      <c r="D52" s="1001"/>
      <c r="E52" s="998">
        <v>3440688</v>
      </c>
      <c r="F52" s="996"/>
      <c r="G52" s="996"/>
      <c r="H52" s="996"/>
      <c r="I52" s="996"/>
      <c r="J52" s="996"/>
    </row>
    <row r="53" spans="1:12">
      <c r="A53" s="659">
        <f t="shared" si="5"/>
        <v>34</v>
      </c>
      <c r="B53" s="1144" t="s">
        <v>777</v>
      </c>
      <c r="C53" s="1002"/>
      <c r="D53" s="995"/>
      <c r="E53" s="998">
        <v>3936995</v>
      </c>
      <c r="F53" s="996"/>
      <c r="G53" s="996"/>
      <c r="H53" s="996"/>
      <c r="I53" s="996"/>
      <c r="J53" s="996"/>
    </row>
    <row r="54" spans="1:12">
      <c r="A54" s="659">
        <f t="shared" si="5"/>
        <v>35</v>
      </c>
      <c r="B54" s="1144" t="s">
        <v>778</v>
      </c>
      <c r="C54" s="1002"/>
      <c r="D54" s="995"/>
      <c r="E54" s="998"/>
      <c r="F54" s="996"/>
      <c r="G54" s="996"/>
      <c r="H54" s="996"/>
      <c r="I54" s="996"/>
      <c r="J54" s="996"/>
    </row>
    <row r="55" spans="1:12" ht="13.5" thickBot="1">
      <c r="A55" s="659">
        <f t="shared" si="5"/>
        <v>36</v>
      </c>
      <c r="B55" s="1144" t="s">
        <v>779</v>
      </c>
      <c r="C55" s="1002"/>
      <c r="D55" s="995"/>
      <c r="E55" s="1003"/>
      <c r="F55" s="996"/>
      <c r="G55" s="996"/>
      <c r="H55" s="996"/>
      <c r="I55" s="996"/>
      <c r="J55" s="996"/>
    </row>
    <row r="56" spans="1:12">
      <c r="A56" s="659">
        <f t="shared" si="5"/>
        <v>37</v>
      </c>
      <c r="B56" s="993" t="str">
        <f>"Total Interest Expense (Ln "&amp;A49&amp;" - "&amp;A50&amp;" + "&amp;A52&amp;" + "&amp;A53&amp;" - "&amp;A54&amp;" - "&amp;A55&amp;")"</f>
        <v>Total Interest Expense (Ln 30 - 31 + 33 + 34 - 35 - 36)</v>
      </c>
      <c r="C56" s="1004"/>
      <c r="D56" s="1005"/>
      <c r="E56" s="1006">
        <f>+E49-E50+E51+E52+E53-E54-E55</f>
        <v>193135928</v>
      </c>
      <c r="F56" s="996"/>
      <c r="G56" s="996"/>
      <c r="H56" s="996"/>
      <c r="I56" s="996"/>
      <c r="J56" s="996"/>
    </row>
    <row r="57" spans="1:12" ht="13.5" thickBot="1">
      <c r="A57" s="659"/>
      <c r="B57" s="997"/>
      <c r="C57" s="1002"/>
      <c r="D57" s="995"/>
      <c r="E57" s="1006"/>
      <c r="F57" s="996"/>
      <c r="G57" s="996"/>
      <c r="H57" s="996"/>
      <c r="I57" s="996"/>
      <c r="J57" s="996"/>
    </row>
    <row r="58" spans="1:12" ht="13.5" thickBot="1">
      <c r="A58" s="659">
        <f>+A56+1</f>
        <v>38</v>
      </c>
      <c r="B58" s="993" t="str">
        <f>"Average Cost of Debt for "&amp;TCOS!L4&amp;" (Ln "&amp;A56&amp;"/ ln "&amp;A42&amp;" (g))"</f>
        <v>Average Cost of Debt for 2018 (Ln 37/ ln 28 (g))</v>
      </c>
      <c r="C58" s="1004"/>
      <c r="D58" s="995"/>
      <c r="E58" s="1007">
        <f>+E56/H42</f>
        <v>4.7516662567088024E-2</v>
      </c>
      <c r="F58" s="996"/>
      <c r="G58" s="996"/>
      <c r="H58" s="996"/>
      <c r="I58" s="996"/>
      <c r="J58" s="996"/>
    </row>
    <row r="59" spans="1:12">
      <c r="A59" s="1008"/>
      <c r="B59" s="997"/>
      <c r="C59" s="1002"/>
      <c r="D59" s="995"/>
      <c r="E59" s="1002"/>
      <c r="F59" s="996"/>
      <c r="G59" s="996"/>
      <c r="H59" s="996"/>
      <c r="I59" s="996"/>
      <c r="J59" s="996"/>
    </row>
    <row r="60" spans="1:12" s="1010" customFormat="1" ht="28.5" customHeight="1">
      <c r="A60" s="774"/>
      <c r="B60" s="1449" t="s">
        <v>0</v>
      </c>
      <c r="C60" s="1449"/>
      <c r="D60" s="1449"/>
      <c r="E60" s="1449"/>
      <c r="F60" s="775"/>
      <c r="G60" s="1009"/>
    </row>
    <row r="61" spans="1:12" s="1010" customFormat="1" ht="107.25" customHeight="1">
      <c r="A61" s="776">
        <f>+A58+1</f>
        <v>39</v>
      </c>
      <c r="B61" s="1450" t="s">
        <v>313</v>
      </c>
      <c r="C61" s="1451"/>
      <c r="D61" s="1451"/>
      <c r="E61" s="1451"/>
      <c r="F61" s="586"/>
      <c r="G61" s="1009"/>
    </row>
    <row r="62" spans="1:12" s="1010" customFormat="1" ht="12" customHeight="1">
      <c r="A62" s="774"/>
      <c r="B62" s="777"/>
      <c r="C62" s="777"/>
      <c r="D62" s="777"/>
      <c r="E62" s="777"/>
      <c r="F62" s="1009"/>
      <c r="G62" s="1452" t="s">
        <v>233</v>
      </c>
      <c r="H62" s="1452"/>
    </row>
    <row r="63" spans="1:12" s="1010" customFormat="1" ht="52.5" customHeight="1">
      <c r="A63" s="600"/>
      <c r="B63" s="1012" t="s">
        <v>360</v>
      </c>
      <c r="C63" s="1011" t="str">
        <f>"Total Hedge (Gain)/Loss for "&amp;TCOS!L4</f>
        <v>Total Hedge (Gain)/Loss for 2018</v>
      </c>
      <c r="D63" s="1011" t="str">
        <f>"Less Excludable Amounts (See NOTE on Line "&amp;A61&amp;")"</f>
        <v>Less Excludable Amounts (See NOTE on Line 39)</v>
      </c>
      <c r="E63" s="1011" t="s">
        <v>1</v>
      </c>
      <c r="F63" s="1011" t="s">
        <v>232</v>
      </c>
      <c r="G63" s="1011" t="s">
        <v>284</v>
      </c>
      <c r="H63" s="1011" t="s">
        <v>286</v>
      </c>
    </row>
    <row r="64" spans="1:12" s="1010" customFormat="1" ht="12.75" customHeight="1">
      <c r="A64" s="600">
        <f>+A61+1</f>
        <v>40</v>
      </c>
      <c r="B64" s="1013" t="s">
        <v>983</v>
      </c>
      <c r="C64" s="1326">
        <v>0</v>
      </c>
      <c r="D64" s="1013"/>
      <c r="E64" s="1014">
        <f t="shared" ref="E64:E72" si="6">+C64-D64</f>
        <v>0</v>
      </c>
      <c r="F64" s="1326">
        <v>0.24000000016530976</v>
      </c>
      <c r="G64" s="1327">
        <v>38353</v>
      </c>
      <c r="H64" s="1327">
        <v>41821</v>
      </c>
      <c r="I64" s="334"/>
      <c r="J64" s="334"/>
    </row>
    <row r="65" spans="1:8" s="1010" customFormat="1" ht="12.75" customHeight="1">
      <c r="A65" s="600">
        <f t="shared" ref="A65:A74" si="7">+A64+1</f>
        <v>41</v>
      </c>
      <c r="B65" s="1013" t="s">
        <v>984</v>
      </c>
      <c r="C65" s="1326"/>
      <c r="D65" s="1013"/>
      <c r="E65" s="1014">
        <f t="shared" si="6"/>
        <v>0</v>
      </c>
      <c r="F65" s="1326">
        <v>0.23999999975785613</v>
      </c>
      <c r="G65" s="1327">
        <v>38504</v>
      </c>
      <c r="H65" s="1327">
        <v>42125</v>
      </c>
    </row>
    <row r="66" spans="1:8" s="1010" customFormat="1" ht="12.75" customHeight="1">
      <c r="A66" s="600">
        <f t="shared" si="7"/>
        <v>42</v>
      </c>
      <c r="B66" s="1013" t="s">
        <v>985</v>
      </c>
      <c r="C66" s="1326">
        <v>0</v>
      </c>
      <c r="D66" s="1015"/>
      <c r="E66" s="1014">
        <f t="shared" si="6"/>
        <v>0</v>
      </c>
      <c r="F66" s="1326">
        <v>0</v>
      </c>
      <c r="G66" s="1327">
        <v>38596</v>
      </c>
      <c r="H66" s="1327">
        <v>42248</v>
      </c>
    </row>
    <row r="67" spans="1:8" s="1010" customFormat="1" ht="12.75" customHeight="1">
      <c r="A67" s="600">
        <f t="shared" si="7"/>
        <v>43</v>
      </c>
      <c r="B67" s="1013" t="s">
        <v>986</v>
      </c>
      <c r="C67" s="1326">
        <v>37120.222222217359</v>
      </c>
      <c r="D67" s="1015"/>
      <c r="E67" s="1014">
        <f t="shared" si="6"/>
        <v>37120.222222217359</v>
      </c>
      <c r="F67" s="1326">
        <v>531355.77777778264</v>
      </c>
      <c r="G67" s="1327">
        <v>37742</v>
      </c>
      <c r="H67" s="1327">
        <v>48700</v>
      </c>
    </row>
    <row r="68" spans="1:8" s="1010" customFormat="1" ht="12.75" customHeight="1">
      <c r="A68" s="600">
        <f t="shared" si="7"/>
        <v>44</v>
      </c>
      <c r="B68" s="1013" t="s">
        <v>987</v>
      </c>
      <c r="C68" s="1326">
        <v>-194198.70850004116</v>
      </c>
      <c r="D68" s="1013"/>
      <c r="E68" s="1014">
        <f t="shared" si="6"/>
        <v>-194198.70850004116</v>
      </c>
      <c r="F68" s="1326">
        <v>-3349923.1014999584</v>
      </c>
      <c r="G68" s="1327">
        <v>38808</v>
      </c>
      <c r="H68" s="1327">
        <v>49766</v>
      </c>
    </row>
    <row r="69" spans="1:8" s="1010" customFormat="1" ht="12.75" customHeight="1">
      <c r="A69" s="600">
        <f t="shared" si="7"/>
        <v>45</v>
      </c>
      <c r="B69" s="1013" t="s">
        <v>988</v>
      </c>
      <c r="C69" s="1326">
        <v>159678.17222220125</v>
      </c>
      <c r="D69" s="1013"/>
      <c r="E69" s="1014">
        <f t="shared" si="6"/>
        <v>159678.17222220125</v>
      </c>
      <c r="F69" s="1326">
        <v>3067004.8277777988</v>
      </c>
      <c r="G69" s="1327">
        <v>39508</v>
      </c>
      <c r="H69" s="1327">
        <v>50496</v>
      </c>
    </row>
    <row r="70" spans="1:8" s="1010" customFormat="1" ht="12.75" customHeight="1">
      <c r="A70" s="600">
        <f t="shared" si="7"/>
        <v>46</v>
      </c>
      <c r="B70" s="1013" t="s">
        <v>989</v>
      </c>
      <c r="C70" s="1326">
        <v>0</v>
      </c>
      <c r="D70" s="1013"/>
      <c r="E70" s="1014">
        <f t="shared" si="6"/>
        <v>0</v>
      </c>
      <c r="F70" s="1326"/>
      <c r="G70" s="1327">
        <v>40322</v>
      </c>
      <c r="H70" s="1327">
        <v>42125</v>
      </c>
    </row>
    <row r="71" spans="1:8" s="1010" customFormat="1" ht="12.75" customHeight="1">
      <c r="A71" s="600">
        <f t="shared" si="7"/>
        <v>47</v>
      </c>
      <c r="B71" s="1013" t="s">
        <v>990</v>
      </c>
      <c r="C71" s="1326">
        <v>-1131433.9100000272</v>
      </c>
      <c r="D71" s="1016"/>
      <c r="E71" s="1014">
        <f t="shared" si="6"/>
        <v>-1131433.9100000272</v>
      </c>
      <c r="F71" s="1326">
        <v>-2514293.999999973</v>
      </c>
      <c r="G71" s="1327">
        <v>40603</v>
      </c>
      <c r="H71" s="1327">
        <v>44256</v>
      </c>
    </row>
    <row r="72" spans="1:8" s="1010" customFormat="1" ht="12.75" customHeight="1">
      <c r="A72" s="600">
        <f t="shared" si="7"/>
        <v>48</v>
      </c>
      <c r="B72" s="1013"/>
      <c r="C72" s="1326"/>
      <c r="D72" s="998"/>
      <c r="E72" s="1014">
        <f t="shared" si="6"/>
        <v>0</v>
      </c>
      <c r="F72" s="1017"/>
      <c r="G72" s="1017"/>
      <c r="H72" s="1017"/>
    </row>
    <row r="73" spans="1:8" s="1010" customFormat="1" ht="12.75" customHeight="1">
      <c r="A73" s="600">
        <f t="shared" si="7"/>
        <v>49</v>
      </c>
      <c r="B73" s="543"/>
      <c r="C73" s="1018"/>
      <c r="D73" s="1018"/>
      <c r="E73" s="1019"/>
      <c r="F73" s="1014">
        <f>SUM(F64:F72)</f>
        <v>-2265856.01594435</v>
      </c>
      <c r="G73" s="1009"/>
    </row>
    <row r="74" spans="1:8" s="1010" customFormat="1" ht="12.75" customHeight="1">
      <c r="A74" s="600">
        <f t="shared" si="7"/>
        <v>50</v>
      </c>
      <c r="B74" s="997" t="s">
        <v>8</v>
      </c>
      <c r="C74" s="1006">
        <f>SUM(C64:C72)</f>
        <v>-1128834.2240556497</v>
      </c>
      <c r="D74" s="1006">
        <f>SUM(D64:D72)</f>
        <v>0</v>
      </c>
      <c r="F74" s="1009"/>
      <c r="G74" s="1009"/>
    </row>
    <row r="75" spans="1:8" s="1010" customFormat="1" ht="21" customHeight="1">
      <c r="A75" s="600"/>
      <c r="B75" s="997"/>
      <c r="C75" s="1006"/>
      <c r="D75" s="1006"/>
      <c r="E75" s="1006"/>
      <c r="F75" s="1009"/>
      <c r="G75" s="1009"/>
    </row>
    <row r="76" spans="1:8" s="1010" customFormat="1" ht="14.25" customHeight="1">
      <c r="A76" s="600">
        <f>+A74+1</f>
        <v>51</v>
      </c>
      <c r="B76" s="997" t="str">
        <f>"Hedge Gain or Loss Prior to Application of Recovery Limit (Sum of Lines "&amp;A64&amp;" to "&amp;A72&amp;")"</f>
        <v>Hedge Gain or Loss Prior to Application of Recovery Limit (Sum of Lines 40 to 48)</v>
      </c>
      <c r="C76" s="1006"/>
      <c r="D76" s="1006"/>
      <c r="E76" s="1006">
        <f>SUM(E64:E72)</f>
        <v>-1128834.2240556497</v>
      </c>
      <c r="F76" s="1009"/>
      <c r="G76" s="1009"/>
    </row>
    <row r="77" spans="1:8" s="1010" customFormat="1" ht="12.75" customHeight="1">
      <c r="A77" s="600">
        <f>+A76+1</f>
        <v>52</v>
      </c>
      <c r="B77" s="1020" t="str">
        <f>"Total Average Capital Structure Balance for "&amp;TCOS!L4&amp;" (TCOS, Ln "&amp;TCOS!B258&amp;")"</f>
        <v>Total Average Capital Structure Balance for 2018 (TCOS, Ln 157)</v>
      </c>
      <c r="C77" s="1002"/>
      <c r="D77" s="995"/>
      <c r="E77" s="1021">
        <f>TCOS!G258</f>
        <v>7989596292.5514603</v>
      </c>
      <c r="F77" s="1009"/>
      <c r="G77" s="1009"/>
      <c r="H77" s="1022"/>
    </row>
    <row r="78" spans="1:8" s="1010" customFormat="1" ht="12.75" customHeight="1">
      <c r="A78" s="600">
        <f>+A77+1</f>
        <v>53</v>
      </c>
      <c r="B78" s="997" t="s">
        <v>490</v>
      </c>
      <c r="C78" s="1002"/>
      <c r="D78" s="995"/>
      <c r="E78" s="1023">
        <v>5.0000000000000001E-4</v>
      </c>
      <c r="F78" s="1009"/>
      <c r="G78" s="1024"/>
    </row>
    <row r="79" spans="1:8" s="1010" customFormat="1" ht="12.75" customHeight="1" thickBot="1">
      <c r="A79" s="600">
        <f>+A78+1</f>
        <v>54</v>
      </c>
      <c r="B79" s="997" t="s">
        <v>491</v>
      </c>
      <c r="C79" s="1002"/>
      <c r="D79" s="995"/>
      <c r="E79" s="1025">
        <f>+E77*E78</f>
        <v>3994798.1462757303</v>
      </c>
      <c r="F79" s="1009"/>
      <c r="G79" s="1009"/>
    </row>
    <row r="80" spans="1:8" s="1010" customFormat="1" ht="12.75" customHeight="1" thickBot="1">
      <c r="A80" s="600">
        <f>+A79+1</f>
        <v>55</v>
      </c>
      <c r="B80" s="993" t="str">
        <f>"Recoverable Hedge Amortization (Lesser of Ln "&amp;A76&amp;" or Ln "&amp;A79&amp;")"</f>
        <v>Recoverable Hedge Amortization (Lesser of Ln 51 or Ln 54)</v>
      </c>
      <c r="C80" s="1002"/>
      <c r="D80" s="995"/>
      <c r="E80" s="1026">
        <f>+IF(E79&lt;E76,E79,E76)</f>
        <v>-1128834.2240556497</v>
      </c>
      <c r="F80" s="1009"/>
      <c r="G80" s="1009"/>
    </row>
    <row r="81" spans="1:7" s="1010" customFormat="1" ht="12.75" customHeight="1">
      <c r="A81" s="600"/>
      <c r="B81" s="997"/>
      <c r="C81" s="1002"/>
      <c r="D81" s="995"/>
      <c r="E81" s="1002"/>
      <c r="F81" s="1009"/>
      <c r="G81" s="1009"/>
    </row>
    <row r="82" spans="1:7" s="1010" customFormat="1" ht="12.75" customHeight="1">
      <c r="A82" s="1027" t="s">
        <v>9</v>
      </c>
      <c r="B82" s="1028"/>
      <c r="C82" s="1002"/>
      <c r="D82" s="995"/>
      <c r="E82" s="1002"/>
      <c r="F82" s="1009"/>
      <c r="G82" s="1009"/>
    </row>
    <row r="83" spans="1:7" s="1010" customFormat="1" ht="12.75" customHeight="1">
      <c r="A83" s="600"/>
      <c r="B83" s="997"/>
      <c r="C83" s="1002"/>
      <c r="D83" s="995"/>
      <c r="E83" s="1002"/>
      <c r="F83" s="1009"/>
      <c r="G83" s="1009"/>
    </row>
    <row r="84" spans="1:7" s="1010" customFormat="1" ht="12.75" customHeight="1">
      <c r="A84" s="600"/>
      <c r="B84" s="1029" t="s">
        <v>259</v>
      </c>
      <c r="C84" s="1030"/>
      <c r="D84" s="1031"/>
      <c r="E84" s="1030" t="s">
        <v>507</v>
      </c>
      <c r="F84" s="1009"/>
      <c r="G84" s="1009"/>
    </row>
    <row r="85" spans="1:7" s="1010" customFormat="1" ht="12.75" customHeight="1">
      <c r="A85" s="600">
        <f>+A80+1</f>
        <v>56</v>
      </c>
      <c r="B85" s="995" t="str">
        <f>""&amp;C$85*100&amp;"% Series - "&amp;C$86&amp;" - Dividend Rate (p. 250-251)"</f>
        <v>0% Series - 0 - Dividend Rate (p. 250-251)</v>
      </c>
      <c r="C85" s="1032">
        <v>0</v>
      </c>
      <c r="D85" s="1032">
        <v>0</v>
      </c>
      <c r="E85" s="1030"/>
      <c r="F85" s="1009"/>
      <c r="G85" s="1009"/>
    </row>
    <row r="86" spans="1:7" s="1010" customFormat="1" ht="12.75" customHeight="1">
      <c r="A86" s="600">
        <f>+A85+1</f>
        <v>57</v>
      </c>
      <c r="B86" s="995" t="str">
        <f>""&amp;C$85*100&amp;"% Series - "&amp;C$86&amp;" - Par Value (p. 250-251)"</f>
        <v>0% Series - 0 - Par Value (p. 250-251)</v>
      </c>
      <c r="C86" s="1033">
        <v>0</v>
      </c>
      <c r="D86" s="1033">
        <v>0</v>
      </c>
      <c r="E86" s="1030"/>
      <c r="F86" s="1009"/>
      <c r="G86" s="1009"/>
    </row>
    <row r="87" spans="1:7" s="1010" customFormat="1" ht="12.75" customHeight="1">
      <c r="A87" s="600">
        <f>+A86+1</f>
        <v>58</v>
      </c>
      <c r="B87" s="995" t="str">
        <f>""&amp;C$85*100&amp;"% Series - "&amp;C$86&amp;" - Shares O/S (p.250-251) "</f>
        <v xml:space="preserve">0% Series - 0 - Shares O/S (p.250-251) </v>
      </c>
      <c r="C87" s="998">
        <v>0</v>
      </c>
      <c r="D87" s="998">
        <v>0</v>
      </c>
      <c r="E87" s="1034"/>
      <c r="F87" s="1009"/>
      <c r="G87" s="1009"/>
    </row>
    <row r="88" spans="1:7" s="1010" customFormat="1" ht="12.75" customHeight="1">
      <c r="A88" s="600">
        <f>+A87+1</f>
        <v>59</v>
      </c>
      <c r="B88" s="995" t="str">
        <f>""&amp;C$85*100&amp;"% Series - "&amp;C$86&amp;" - Monetary Value (Ln "&amp;A86&amp;" * Ln "&amp;A87&amp;")"</f>
        <v>0% Series - 0 - Monetary Value (Ln 57 * Ln 58)</v>
      </c>
      <c r="C88" s="1035">
        <f>+C87*C86</f>
        <v>0</v>
      </c>
      <c r="D88" s="1035">
        <f>+D87*D86</f>
        <v>0</v>
      </c>
      <c r="E88" s="1036">
        <f>IF(C88=D88=0,0,AVERAGE(C88:D88))</f>
        <v>0</v>
      </c>
      <c r="F88" s="1009"/>
      <c r="G88" s="1009"/>
    </row>
    <row r="89" spans="1:7" s="1010" customFormat="1" ht="12.75" customHeight="1">
      <c r="A89" s="600">
        <f>+A88+1</f>
        <v>60</v>
      </c>
      <c r="B89" s="995" t="str">
        <f>""&amp;C$85*100&amp;"% Series - "&amp;C$86&amp;" -  Dividend Amount (Ln "&amp;A85&amp;" * Ln "&amp;A88&amp;")"</f>
        <v>0% Series - 0 -  Dividend Amount (Ln 56 * Ln 59)</v>
      </c>
      <c r="C89" s="1035">
        <f>+C88*C85</f>
        <v>0</v>
      </c>
      <c r="D89" s="1035">
        <f>+D88*D85</f>
        <v>0</v>
      </c>
      <c r="E89" s="1036">
        <f>IF(C89=D89=0,0,AVERAGE(C89:D89))</f>
        <v>0</v>
      </c>
      <c r="F89" s="1009"/>
      <c r="G89" s="1009"/>
    </row>
    <row r="90" spans="1:7" s="1010" customFormat="1" ht="12.75" customHeight="1">
      <c r="A90" s="600"/>
      <c r="B90" s="995"/>
      <c r="C90" s="1035"/>
      <c r="D90" s="1024"/>
      <c r="E90" s="1037"/>
      <c r="F90" s="1009"/>
      <c r="G90" s="1009"/>
    </row>
    <row r="91" spans="1:7" s="1010" customFormat="1" ht="12.75" customHeight="1">
      <c r="A91" s="600">
        <f>+A89+1</f>
        <v>61</v>
      </c>
      <c r="B91" s="995" t="str">
        <f>""&amp;C$91*100&amp;"% Series - "&amp;C$92&amp;" - Dividend Rate (p. 250-251)"</f>
        <v>0% Series - 0 - Dividend Rate (p. 250-251)</v>
      </c>
      <c r="C91" s="1032">
        <v>0</v>
      </c>
      <c r="D91" s="1032">
        <v>0</v>
      </c>
      <c r="E91" s="1037"/>
      <c r="F91" s="1009"/>
      <c r="G91" s="1009"/>
    </row>
    <row r="92" spans="1:7" s="1010" customFormat="1" ht="12.75" customHeight="1">
      <c r="A92" s="600">
        <f>+A91+1</f>
        <v>62</v>
      </c>
      <c r="B92" s="995" t="str">
        <f>""&amp;C$91*100&amp;"% Series - "&amp;C$92&amp;" - Par Value (p. 250-251)"</f>
        <v>0% Series - 0 - Par Value (p. 250-251)</v>
      </c>
      <c r="C92" s="1033">
        <v>0</v>
      </c>
      <c r="D92" s="1033">
        <v>0</v>
      </c>
      <c r="E92" s="1037"/>
      <c r="F92" s="1009"/>
      <c r="G92" s="1009"/>
    </row>
    <row r="93" spans="1:7" s="1010" customFormat="1" ht="12.75" customHeight="1">
      <c r="A93" s="600">
        <f>+A92+1</f>
        <v>63</v>
      </c>
      <c r="B93" s="995" t="str">
        <f>""&amp;C$91*100&amp;"% Series - "&amp;C$92&amp;" - Shares O/S (p.250-251) "</f>
        <v xml:space="preserve">0% Series - 0 - Shares O/S (p.250-251) </v>
      </c>
      <c r="C93" s="998">
        <v>0</v>
      </c>
      <c r="D93" s="998">
        <v>0</v>
      </c>
      <c r="E93" s="1037"/>
      <c r="F93" s="1009"/>
      <c r="G93" s="1009"/>
    </row>
    <row r="94" spans="1:7" s="1010" customFormat="1" ht="12.75" customHeight="1">
      <c r="A94" s="600">
        <f>+A93+1</f>
        <v>64</v>
      </c>
      <c r="B94" s="995" t="str">
        <f>""&amp;C$91*100&amp;"% Series - "&amp;C$92&amp;" - Monetary Value (Ln "&amp;A92&amp;" * Ln "&amp;A93&amp;")"</f>
        <v>0% Series - 0 - Monetary Value (Ln 62 * Ln 63)</v>
      </c>
      <c r="C94" s="994">
        <f>+C93*C92</f>
        <v>0</v>
      </c>
      <c r="D94" s="994">
        <f>+D93*D92</f>
        <v>0</v>
      </c>
      <c r="E94" s="1036">
        <f>IF(C94=D94=0,0,AVERAGE(C94:D94))</f>
        <v>0</v>
      </c>
      <c r="F94" s="1009"/>
      <c r="G94" s="1009"/>
    </row>
    <row r="95" spans="1:7" s="1010" customFormat="1" ht="12.75" customHeight="1">
      <c r="A95" s="600">
        <f>+A94+1</f>
        <v>65</v>
      </c>
      <c r="B95" s="995" t="str">
        <f>""&amp;C$91*100&amp;"% Series - "&amp;C$92&amp;" -  Dividend Amount (Ln "&amp;A91&amp;" * Ln "&amp;A94&amp;")"</f>
        <v>0% Series - 0 -  Dividend Amount (Ln 61 * Ln 64)</v>
      </c>
      <c r="C95" s="994">
        <f>+C94*C91</f>
        <v>0</v>
      </c>
      <c r="D95" s="994">
        <f>+D94*D91</f>
        <v>0</v>
      </c>
      <c r="E95" s="1036">
        <f>IF(C95=D95=0,0,AVERAGE(C95:D95))</f>
        <v>0</v>
      </c>
      <c r="F95" s="1009"/>
      <c r="G95" s="1009"/>
    </row>
    <row r="96" spans="1:7" s="1010" customFormat="1" ht="12.75" customHeight="1">
      <c r="A96" s="600"/>
      <c r="B96" s="995"/>
      <c r="C96" s="994"/>
      <c r="D96" s="994"/>
      <c r="E96" s="1036"/>
      <c r="F96" s="1009"/>
      <c r="G96" s="1009"/>
    </row>
    <row r="97" spans="1:7" s="1010" customFormat="1" ht="12.75" customHeight="1">
      <c r="A97" s="600">
        <f>+A95+1</f>
        <v>66</v>
      </c>
      <c r="B97" s="995" t="str">
        <f>""&amp;C$97*100&amp;"% Series - "&amp;C$98&amp;" - Dividend Rate (p. 250-251)"</f>
        <v>0% Series - 0 - Dividend Rate (p. 250-251)</v>
      </c>
      <c r="C97" s="1032">
        <v>0</v>
      </c>
      <c r="D97" s="1032">
        <v>0</v>
      </c>
      <c r="E97" s="1036"/>
      <c r="F97" s="1009"/>
      <c r="G97" s="1009"/>
    </row>
    <row r="98" spans="1:7" s="1010" customFormat="1" ht="12.75" customHeight="1">
      <c r="A98" s="600">
        <f>+A97+1</f>
        <v>67</v>
      </c>
      <c r="B98" s="995" t="str">
        <f>""&amp;C$97*100&amp;"% Series - "&amp;C$98&amp;" - Par Value (p. 250-251)"</f>
        <v>0% Series - 0 - Par Value (p. 250-251)</v>
      </c>
      <c r="C98" s="1033">
        <v>0</v>
      </c>
      <c r="D98" s="1033">
        <v>0</v>
      </c>
      <c r="E98" s="1036"/>
      <c r="F98" s="1009"/>
      <c r="G98" s="1009"/>
    </row>
    <row r="99" spans="1:7" s="1010" customFormat="1" ht="12.75" customHeight="1">
      <c r="A99" s="600">
        <f>+A98+1</f>
        <v>68</v>
      </c>
      <c r="B99" s="995" t="str">
        <f>""&amp;C$97*100&amp;"% Series - "&amp;C$98&amp;" - Shares O/S (p.250-251) "</f>
        <v xml:space="preserve">0% Series - 0 - Shares O/S (p.250-251) </v>
      </c>
      <c r="C99" s="998">
        <v>0</v>
      </c>
      <c r="D99" s="998">
        <v>0</v>
      </c>
      <c r="E99" s="1037"/>
      <c r="F99" s="1009"/>
      <c r="G99" s="1009"/>
    </row>
    <row r="100" spans="1:7" s="1010" customFormat="1" ht="12.75" customHeight="1">
      <c r="A100" s="600">
        <f>+A99+1</f>
        <v>69</v>
      </c>
      <c r="B100" s="995" t="str">
        <f>""&amp;C$97*100&amp;"% Series - "&amp;C$98&amp;" - Monetary Value (Ln "&amp;A98&amp;" * Ln "&amp;A99&amp;")"</f>
        <v>0% Series - 0 - Monetary Value (Ln 67 * Ln 68)</v>
      </c>
      <c r="C100" s="994">
        <f>+C99*C98</f>
        <v>0</v>
      </c>
      <c r="D100" s="994">
        <f>+D99*D98</f>
        <v>0</v>
      </c>
      <c r="E100" s="1036">
        <f>IF(C100=D100=0,0,AVERAGE(C100:D100))</f>
        <v>0</v>
      </c>
      <c r="F100" s="1009"/>
      <c r="G100" s="1009"/>
    </row>
    <row r="101" spans="1:7" s="1010" customFormat="1" ht="12.75" customHeight="1">
      <c r="A101" s="600">
        <f>+A100+1</f>
        <v>70</v>
      </c>
      <c r="B101" s="995" t="str">
        <f>""&amp;C$97*100&amp;"% Series - "&amp;C$98&amp;" -  Dividend Amount (Ln "&amp;A97&amp;" * Ln "&amp;A100&amp;")"</f>
        <v>0% Series - 0 -  Dividend Amount (Ln 66 * Ln 69)</v>
      </c>
      <c r="C101" s="994">
        <f>+C100*C97</f>
        <v>0</v>
      </c>
      <c r="D101" s="994">
        <f>+D100*D97</f>
        <v>0</v>
      </c>
      <c r="E101" s="1036">
        <f>IF(C101=D101=0,0,AVERAGE(C101:D101))</f>
        <v>0</v>
      </c>
      <c r="F101" s="1009"/>
      <c r="G101" s="1009"/>
    </row>
    <row r="102" spans="1:7" s="1010" customFormat="1" ht="12.75" customHeight="1">
      <c r="A102" s="600"/>
      <c r="B102" s="995"/>
      <c r="C102" s="994"/>
      <c r="D102" s="994"/>
      <c r="E102" s="1009"/>
      <c r="F102" s="1009"/>
      <c r="G102" s="1009"/>
    </row>
    <row r="103" spans="1:7" s="1010" customFormat="1" ht="12.75" customHeight="1">
      <c r="A103" s="600">
        <f>+A101+1</f>
        <v>71</v>
      </c>
      <c r="B103" s="1005" t="str">
        <f>"Balance of Preferred Stock (Lns "&amp;A88&amp;", "&amp;A94&amp;", "&amp;A100&amp;")"</f>
        <v>Balance of Preferred Stock (Lns 59, 64, 69)</v>
      </c>
      <c r="C103" s="994">
        <f>+C88+C94+C100</f>
        <v>0</v>
      </c>
      <c r="D103" s="994">
        <f>+D88+D94+D100</f>
        <v>0</v>
      </c>
      <c r="E103" s="1038">
        <f>+E88+E94+E100</f>
        <v>0</v>
      </c>
      <c r="F103" s="995" t="s">
        <v>314</v>
      </c>
      <c r="G103" s="1009"/>
    </row>
    <row r="104" spans="1:7" s="1010" customFormat="1" ht="12.75" customHeight="1" thickBot="1">
      <c r="A104" s="600">
        <f>+A103+1</f>
        <v>72</v>
      </c>
      <c r="B104" s="1005" t="str">
        <f>"Dividends on Preferred Stock (Lns "&amp;A89&amp;", "&amp;A95&amp;", "&amp;A101&amp;")"</f>
        <v>Dividends on Preferred Stock (Lns 60, 65, 70)</v>
      </c>
      <c r="C104" s="1039">
        <f>+C95+C89+C101</f>
        <v>0</v>
      </c>
      <c r="D104" s="1039">
        <f>+D95+D89+D101</f>
        <v>0</v>
      </c>
      <c r="E104" s="1040">
        <f>+E101+E95+E89</f>
        <v>0</v>
      </c>
      <c r="F104" s="1009"/>
      <c r="G104" s="1009"/>
    </row>
    <row r="105" spans="1:7" s="1010" customFormat="1" ht="12.75" customHeight="1" thickBot="1">
      <c r="A105" s="600">
        <f>+A104+1</f>
        <v>73</v>
      </c>
      <c r="B105" s="1041" t="str">
        <f>"Average Cost of Preferred Stock (Ln "&amp;A104&amp;"/"&amp;A103&amp;")"</f>
        <v>Average Cost of Preferred Stock (Ln 72/71)</v>
      </c>
      <c r="C105" s="1002">
        <f>IF(C103=0,0,C104/C103)</f>
        <v>0</v>
      </c>
      <c r="D105" s="1002">
        <f>IF(D103=0,0,D104/D103)</f>
        <v>0</v>
      </c>
      <c r="E105" s="1007">
        <f>IF(E103=0,0,+E104/E103)</f>
        <v>0</v>
      </c>
      <c r="F105" s="1009"/>
      <c r="G105" s="1009"/>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5"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899" t="s">
        <v>115</v>
      </c>
    </row>
    <row r="2" spans="1:21" ht="15.75">
      <c r="A2" s="899" t="s">
        <v>115</v>
      </c>
    </row>
    <row r="3" spans="1:21" ht="18">
      <c r="A3" s="1433" t="s">
        <v>388</v>
      </c>
      <c r="B3" s="1433"/>
      <c r="C3" s="1433"/>
      <c r="D3" s="1433"/>
      <c r="E3" s="1433"/>
      <c r="F3" s="1433"/>
      <c r="G3" s="1433"/>
      <c r="H3" s="1433"/>
      <c r="I3" s="1433"/>
      <c r="J3" s="1433"/>
      <c r="K3" s="1433"/>
      <c r="L3" s="1433"/>
      <c r="M3" s="1433"/>
      <c r="N3" s="1433"/>
      <c r="O3" s="1433"/>
    </row>
    <row r="4" spans="1:21" ht="18">
      <c r="A4" s="1432" t="str">
        <f>"Cost of Service Formula Rate Using Actual/Projected FF1 Balances"</f>
        <v>Cost of Service Formula Rate Using Actual/Projected FF1 Balances</v>
      </c>
      <c r="B4" s="1432"/>
      <c r="C4" s="1432"/>
      <c r="D4" s="1432"/>
      <c r="E4" s="1432"/>
      <c r="F4" s="1432"/>
      <c r="G4" s="1432"/>
      <c r="H4" s="1432"/>
      <c r="I4" s="1432"/>
      <c r="J4" s="1432"/>
      <c r="K4" s="1432"/>
      <c r="L4" s="1432"/>
      <c r="M4" s="1432"/>
      <c r="N4" s="1432"/>
      <c r="O4" s="1432"/>
    </row>
    <row r="5" spans="1:21" ht="18">
      <c r="A5" s="1432" t="s">
        <v>240</v>
      </c>
      <c r="B5" s="1432"/>
      <c r="C5" s="1432"/>
      <c r="D5" s="1432"/>
      <c r="E5" s="1432"/>
      <c r="F5" s="1432"/>
      <c r="G5" s="1432"/>
      <c r="H5" s="1432"/>
      <c r="I5" s="1432"/>
      <c r="J5" s="1432"/>
      <c r="K5" s="1432"/>
      <c r="L5" s="1432"/>
      <c r="M5" s="1432"/>
      <c r="N5" s="1432"/>
      <c r="O5" s="1432"/>
    </row>
    <row r="6" spans="1:21" ht="18">
      <c r="A6" s="1427" t="str">
        <f>+TCOS!F9</f>
        <v>Appalachian Power Company</v>
      </c>
      <c r="B6" s="1427"/>
      <c r="C6" s="1427"/>
      <c r="D6" s="1427"/>
      <c r="E6" s="1427"/>
      <c r="F6" s="1427"/>
      <c r="G6" s="1427"/>
      <c r="H6" s="1427"/>
      <c r="I6" s="1427"/>
      <c r="J6" s="1427"/>
      <c r="K6" s="1427"/>
      <c r="L6" s="1427"/>
      <c r="M6" s="1427"/>
      <c r="N6" s="1427"/>
      <c r="O6" s="1427"/>
    </row>
    <row r="7" spans="1:21" ht="12.75" customHeight="1">
      <c r="A7" s="161"/>
      <c r="B7" s="161"/>
      <c r="C7" s="161"/>
      <c r="D7" s="161"/>
      <c r="E7" s="161"/>
      <c r="F7" s="161"/>
      <c r="G7" s="161"/>
      <c r="H7" s="161"/>
      <c r="I7" s="161"/>
      <c r="J7" s="161"/>
      <c r="K7" s="161"/>
      <c r="L7" s="161"/>
    </row>
    <row r="8" spans="1:21" ht="12.75" customHeight="1">
      <c r="A8" s="1461" t="s">
        <v>391</v>
      </c>
      <c r="B8" s="1461"/>
      <c r="C8" s="1461"/>
      <c r="D8" s="1461"/>
      <c r="E8" s="1461"/>
      <c r="F8" s="1461"/>
      <c r="G8" s="1461"/>
      <c r="H8" s="1461"/>
      <c r="I8" s="1461"/>
      <c r="J8" s="1461"/>
      <c r="K8" s="1461"/>
      <c r="L8" s="1461"/>
      <c r="M8" s="1461"/>
      <c r="N8" s="1461"/>
      <c r="O8" s="1461"/>
    </row>
    <row r="9" spans="1:21" ht="12.75" customHeight="1">
      <c r="A9" s="1461"/>
      <c r="B9" s="1461"/>
      <c r="C9" s="1461"/>
      <c r="D9" s="1461"/>
      <c r="E9" s="1461"/>
      <c r="F9" s="1461"/>
      <c r="G9" s="1461"/>
      <c r="H9" s="1461"/>
      <c r="I9" s="1461"/>
      <c r="J9" s="1461"/>
      <c r="K9" s="1461"/>
      <c r="L9" s="1461"/>
      <c r="M9" s="1461"/>
      <c r="N9" s="1461"/>
      <c r="O9" s="1461"/>
    </row>
    <row r="10" spans="1:21">
      <c r="A10" s="1461"/>
      <c r="B10" s="1461"/>
      <c r="C10" s="1461"/>
      <c r="D10" s="1461"/>
      <c r="E10" s="1461"/>
      <c r="F10" s="1461"/>
      <c r="G10" s="1461"/>
      <c r="H10" s="1461"/>
      <c r="I10" s="1461"/>
      <c r="J10" s="1461"/>
      <c r="K10" s="1461"/>
      <c r="L10" s="1461"/>
      <c r="M10" s="1461"/>
      <c r="N10" s="1461"/>
      <c r="O10" s="1461"/>
    </row>
    <row r="11" spans="1:21">
      <c r="A11" s="1461"/>
      <c r="B11" s="1461"/>
      <c r="C11" s="1461"/>
      <c r="D11" s="1461"/>
      <c r="E11" s="1461"/>
      <c r="F11" s="1461"/>
      <c r="G11" s="1461"/>
      <c r="H11" s="1461"/>
      <c r="I11" s="1461"/>
      <c r="J11" s="1461"/>
      <c r="K11" s="1461"/>
      <c r="L11" s="1461"/>
      <c r="M11" s="1461"/>
      <c r="N11" s="1461"/>
      <c r="O11" s="1461"/>
    </row>
    <row r="12" spans="1:21">
      <c r="B12" s="1" t="s">
        <v>163</v>
      </c>
      <c r="C12" s="1"/>
      <c r="D12" s="1460" t="s">
        <v>164</v>
      </c>
      <c r="E12" s="1460"/>
      <c r="F12" s="1460"/>
      <c r="G12" s="1460"/>
      <c r="H12" s="1"/>
      <c r="I12" s="1" t="s">
        <v>4</v>
      </c>
      <c r="J12" s="1"/>
      <c r="K12" s="1" t="s">
        <v>166</v>
      </c>
      <c r="L12" s="1"/>
      <c r="M12" s="1" t="s">
        <v>84</v>
      </c>
      <c r="N12" s="1"/>
      <c r="O12" s="1" t="s">
        <v>85</v>
      </c>
      <c r="P12" s="1"/>
      <c r="Q12" s="1" t="s">
        <v>20</v>
      </c>
      <c r="R12" s="1"/>
      <c r="S12" s="1" t="s">
        <v>91</v>
      </c>
      <c r="T12" s="1"/>
      <c r="U12" s="104" t="s">
        <v>501</v>
      </c>
    </row>
    <row r="13" spans="1:21">
      <c r="I13" s="1457" t="s">
        <v>18</v>
      </c>
      <c r="Q13" s="1456" t="s">
        <v>19</v>
      </c>
      <c r="S13" s="1457" t="s">
        <v>21</v>
      </c>
      <c r="U13" s="294" t="s">
        <v>80</v>
      </c>
    </row>
    <row r="14" spans="1:21">
      <c r="A14" s="170" t="s">
        <v>17</v>
      </c>
      <c r="B14" s="170" t="s">
        <v>13</v>
      </c>
      <c r="C14" s="170"/>
      <c r="D14" s="213" t="s">
        <v>14</v>
      </c>
      <c r="E14" s="170"/>
      <c r="F14" s="170"/>
      <c r="G14" s="170"/>
      <c r="H14" s="170"/>
      <c r="I14" s="1459"/>
      <c r="J14" s="170"/>
      <c r="K14" s="170" t="s">
        <v>15</v>
      </c>
      <c r="L14" s="170"/>
      <c r="M14" s="170" t="s">
        <v>16</v>
      </c>
      <c r="N14" s="170"/>
      <c r="O14" s="170" t="s">
        <v>494</v>
      </c>
      <c r="Q14" s="1456"/>
      <c r="S14" s="1457"/>
      <c r="U14" s="294" t="s">
        <v>307</v>
      </c>
    </row>
    <row r="15" spans="1:21">
      <c r="A15" s="170"/>
      <c r="B15" s="170"/>
      <c r="C15" s="170"/>
      <c r="D15" s="213"/>
      <c r="E15" s="170"/>
      <c r="F15" s="170"/>
      <c r="G15" s="170"/>
      <c r="H15" s="170"/>
      <c r="I15" s="3" t="s">
        <v>492</v>
      </c>
      <c r="J15" s="170"/>
      <c r="K15" s="170"/>
      <c r="L15" s="170"/>
      <c r="M15" s="170"/>
      <c r="N15" s="170"/>
      <c r="O15" s="170"/>
      <c r="Q15" s="234"/>
      <c r="S15" s="170" t="s">
        <v>494</v>
      </c>
    </row>
    <row r="16" spans="1:21">
      <c r="I16" t="s">
        <v>493</v>
      </c>
    </row>
    <row r="17" spans="1:21">
      <c r="A17" s="1">
        <v>1</v>
      </c>
      <c r="B17" s="890"/>
      <c r="D17" s="1458"/>
      <c r="E17" s="1458"/>
      <c r="F17" s="1458"/>
      <c r="G17" s="1458"/>
      <c r="I17" s="891"/>
      <c r="K17" s="889"/>
      <c r="L17" s="136"/>
      <c r="M17" s="889"/>
      <c r="O17" s="179">
        <f>+K17-M17</f>
        <v>0</v>
      </c>
      <c r="Q17" s="220">
        <f>IF(I17="G",TCOS!L241,IF(I17="T",1,0))</f>
        <v>0</v>
      </c>
      <c r="S17" s="179">
        <f>ROUND(O17*Q17,0)</f>
        <v>0</v>
      </c>
      <c r="U17" s="892"/>
    </row>
    <row r="18" spans="1:21">
      <c r="A18" s="1"/>
      <c r="D18" s="1458"/>
      <c r="E18" s="1458"/>
      <c r="F18" s="1458"/>
      <c r="G18" s="1458"/>
      <c r="K18" s="136"/>
      <c r="L18" s="136"/>
      <c r="M18" s="136"/>
      <c r="O18" s="136"/>
      <c r="Q18" s="220"/>
      <c r="S18" s="136"/>
    </row>
    <row r="19" spans="1:21">
      <c r="A19" s="1"/>
      <c r="D19" s="1458"/>
      <c r="E19" s="1458"/>
      <c r="F19" s="1458"/>
      <c r="G19" s="1458"/>
      <c r="K19" s="136"/>
      <c r="L19" s="136"/>
      <c r="M19" s="136"/>
      <c r="O19" s="136"/>
      <c r="Q19" s="220"/>
      <c r="S19" s="136"/>
    </row>
    <row r="20" spans="1:21">
      <c r="A20" s="1"/>
      <c r="K20" s="136"/>
      <c r="L20" s="136"/>
      <c r="M20" s="136"/>
      <c r="O20" s="136"/>
      <c r="Q20" s="220"/>
      <c r="S20" s="136"/>
    </row>
    <row r="21" spans="1:21">
      <c r="A21" s="1"/>
      <c r="K21" s="136"/>
      <c r="L21" s="136"/>
      <c r="M21" s="136"/>
      <c r="O21" s="136"/>
      <c r="Q21" s="220"/>
      <c r="S21" s="136"/>
    </row>
    <row r="22" spans="1:21" ht="12" customHeight="1">
      <c r="A22" s="1">
        <f>+A17+1</f>
        <v>2</v>
      </c>
      <c r="B22" s="890"/>
      <c r="D22" s="1458"/>
      <c r="E22" s="1458"/>
      <c r="F22" s="1458"/>
      <c r="G22" s="1458"/>
      <c r="I22" s="891"/>
      <c r="K22" s="889"/>
      <c r="L22" s="136"/>
      <c r="M22" s="889"/>
      <c r="O22" s="179">
        <f>+K22-M22</f>
        <v>0</v>
      </c>
      <c r="Q22" s="220">
        <f>IF(I22="G",TCOS!L241,IF(I22="T",1,0))</f>
        <v>0</v>
      </c>
      <c r="S22" s="179">
        <f>ROUND(O22*Q22,0)</f>
        <v>0</v>
      </c>
      <c r="U22" s="892"/>
    </row>
    <row r="23" spans="1:21">
      <c r="A23" s="1"/>
      <c r="D23" s="1458"/>
      <c r="E23" s="1458"/>
      <c r="F23" s="1458"/>
      <c r="G23" s="1458"/>
      <c r="K23" s="136"/>
      <c r="L23" s="136"/>
      <c r="M23" s="136"/>
      <c r="O23" s="136"/>
      <c r="Q23" s="220"/>
      <c r="S23" s="136"/>
    </row>
    <row r="24" spans="1:21">
      <c r="A24" s="1"/>
      <c r="D24" s="1458"/>
      <c r="E24" s="1458"/>
      <c r="F24" s="1458"/>
      <c r="G24" s="1458"/>
      <c r="K24" s="136"/>
      <c r="L24" s="136"/>
      <c r="M24" s="136"/>
      <c r="O24" s="136"/>
      <c r="Q24" s="220"/>
      <c r="S24" s="136"/>
    </row>
    <row r="25" spans="1:21">
      <c r="A25" s="1"/>
      <c r="I25" s="1"/>
      <c r="K25" s="136"/>
      <c r="L25" s="136"/>
      <c r="M25" s="136"/>
      <c r="O25" s="136"/>
      <c r="Q25" s="220"/>
      <c r="S25" s="136"/>
    </row>
    <row r="26" spans="1:21">
      <c r="A26" s="1"/>
      <c r="I26" s="1"/>
      <c r="K26" s="136"/>
      <c r="L26" s="136"/>
      <c r="M26" s="136"/>
      <c r="O26" s="136"/>
      <c r="Q26" s="220"/>
      <c r="S26" s="136"/>
    </row>
    <row r="27" spans="1:21">
      <c r="A27" s="1">
        <f>+A22+1</f>
        <v>3</v>
      </c>
      <c r="B27" s="890"/>
      <c r="D27" s="1458"/>
      <c r="E27" s="1458"/>
      <c r="F27" s="1458"/>
      <c r="G27" s="1458"/>
      <c r="I27" s="891"/>
      <c r="K27" s="889"/>
      <c r="L27" s="136"/>
      <c r="M27" s="889"/>
      <c r="O27" s="179">
        <f>+K27-M27</f>
        <v>0</v>
      </c>
      <c r="Q27" s="220">
        <f>IF(I27="G",TCOS!L241,IF(I27="T",1,0))</f>
        <v>0</v>
      </c>
      <c r="S27" s="179">
        <f>ROUND(O27*Q27,0)</f>
        <v>0</v>
      </c>
      <c r="U27" s="892"/>
    </row>
    <row r="28" spans="1:21">
      <c r="A28" s="1"/>
      <c r="D28" s="1458"/>
      <c r="E28" s="1458"/>
      <c r="F28" s="1458"/>
      <c r="G28" s="1458"/>
      <c r="K28" s="136"/>
      <c r="L28" s="136"/>
      <c r="M28" s="136"/>
      <c r="O28" s="136"/>
      <c r="Q28" s="220"/>
      <c r="S28" s="136"/>
    </row>
    <row r="29" spans="1:21">
      <c r="A29" s="1"/>
      <c r="D29" s="1458"/>
      <c r="E29" s="1458"/>
      <c r="F29" s="1458"/>
      <c r="G29" s="1458"/>
      <c r="K29" s="136"/>
      <c r="L29" s="136"/>
      <c r="M29" s="136"/>
      <c r="O29" s="136"/>
      <c r="Q29" s="220"/>
    </row>
    <row r="30" spans="1:21">
      <c r="A30" s="1"/>
      <c r="O30" s="136"/>
      <c r="Q30" s="220"/>
    </row>
    <row r="31" spans="1:21">
      <c r="A31" s="1"/>
      <c r="O31" s="136"/>
      <c r="Q31" s="220"/>
    </row>
    <row r="32" spans="1:21">
      <c r="A32" s="1"/>
      <c r="O32" s="136"/>
      <c r="Q32" s="220"/>
    </row>
    <row r="33" spans="1:19" ht="13.5" thickBot="1">
      <c r="A33" s="1">
        <f>+A27+1</f>
        <v>4</v>
      </c>
      <c r="K33" t="str">
        <f>"Net (Gain) or Loss for "&amp;TCOS!L4&amp;""</f>
        <v>Net (Gain) or Loss for 2018</v>
      </c>
      <c r="O33" s="232">
        <f>SUM(O17:O27)</f>
        <v>0</v>
      </c>
      <c r="Q33" s="233"/>
      <c r="S33" s="232">
        <f>SUM(S17:S27)</f>
        <v>0</v>
      </c>
    </row>
    <row r="34" spans="1:19" ht="13.5" thickTop="1">
      <c r="A34" s="1"/>
      <c r="O34" s="136"/>
      <c r="Q34" s="233"/>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7"/>
  <sheetViews>
    <sheetView view="pageBreakPreview" zoomScaleNormal="75" zoomScaleSheetLayoutView="100" workbookViewId="0">
      <selection activeCell="F22" sqref="F22:F27"/>
    </sheetView>
  </sheetViews>
  <sheetFormatPr defaultRowHeight="12.75"/>
  <cols>
    <col min="1" max="1" width="8.140625" style="1194" customWidth="1"/>
    <col min="2" max="2" width="28.85546875" style="1194" customWidth="1"/>
    <col min="3" max="3" width="17.85546875" style="1194" customWidth="1"/>
    <col min="4" max="4" width="19.42578125" style="1194" customWidth="1"/>
    <col min="5" max="6" width="19.85546875" style="1194" customWidth="1"/>
    <col min="7" max="7" width="21.42578125" style="1194" customWidth="1"/>
    <col min="8" max="9" width="19.85546875" style="1194" customWidth="1"/>
    <col min="10" max="10" width="21.42578125" style="1194" customWidth="1"/>
    <col min="11" max="11" width="18.140625" style="1194" customWidth="1"/>
    <col min="12" max="12" width="22.42578125" style="1194" customWidth="1"/>
    <col min="13" max="13" width="22.140625" style="1194" customWidth="1"/>
    <col min="14" max="14" width="11.140625" style="1194" customWidth="1"/>
    <col min="15" max="15" width="11.42578125" style="1194" bestFit="1" customWidth="1"/>
    <col min="16" max="16" width="12.42578125" style="1194" customWidth="1"/>
    <col min="17" max="17" width="9.140625" style="1194"/>
    <col min="18" max="18" width="10.42578125" style="1194" bestFit="1" customWidth="1"/>
    <col min="19" max="19" width="9.140625" style="1194"/>
    <col min="20" max="20" width="12.85546875" style="1194" customWidth="1"/>
    <col min="21" max="21" width="13.5703125" style="1194" customWidth="1"/>
    <col min="22" max="16384" width="9.140625" style="1194"/>
  </cols>
  <sheetData>
    <row r="1" spans="1:17" ht="15.75">
      <c r="A1" s="1193" t="s">
        <v>115</v>
      </c>
    </row>
    <row r="2" spans="1:17" ht="15.75">
      <c r="A2" s="1193" t="s">
        <v>115</v>
      </c>
    </row>
    <row r="3" spans="1:17" ht="15.75">
      <c r="A3" s="1462" t="s">
        <v>388</v>
      </c>
      <c r="B3" s="1462"/>
      <c r="C3" s="1462"/>
      <c r="D3" s="1462"/>
      <c r="E3" s="1462"/>
      <c r="F3" s="1462"/>
      <c r="G3" s="1462"/>
      <c r="H3" s="1462"/>
      <c r="I3" s="1462"/>
      <c r="J3" s="1462"/>
      <c r="K3" s="1462"/>
      <c r="L3" s="1195"/>
      <c r="M3" s="1195"/>
      <c r="N3" s="1196"/>
      <c r="O3" s="1196"/>
      <c r="P3" s="1196"/>
      <c r="Q3" s="1196"/>
    </row>
    <row r="4" spans="1:17" ht="15.75">
      <c r="A4" s="1463" t="str">
        <f>"Cost of Service Formula Rate Using Actual/Projected FF1 Balances"</f>
        <v>Cost of Service Formula Rate Using Actual/Projected FF1 Balances</v>
      </c>
      <c r="B4" s="1464"/>
      <c r="C4" s="1464"/>
      <c r="D4" s="1464"/>
      <c r="E4" s="1464"/>
      <c r="F4" s="1464"/>
      <c r="G4" s="1464"/>
      <c r="H4" s="1464"/>
      <c r="I4" s="1464"/>
      <c r="J4" s="1464"/>
      <c r="K4" s="1464"/>
      <c r="L4" s="1197"/>
      <c r="M4" s="1199"/>
      <c r="N4" s="1200"/>
      <c r="O4" s="1200"/>
      <c r="P4" s="1200"/>
      <c r="Q4" s="1200"/>
    </row>
    <row r="5" spans="1:17" ht="15.75">
      <c r="A5" s="1465" t="s">
        <v>869</v>
      </c>
      <c r="B5" s="1465"/>
      <c r="C5" s="1465"/>
      <c r="D5" s="1465"/>
      <c r="E5" s="1465"/>
      <c r="F5" s="1465"/>
      <c r="G5" s="1465"/>
      <c r="H5" s="1465"/>
      <c r="I5" s="1465"/>
      <c r="J5" s="1465"/>
      <c r="K5" s="1465"/>
      <c r="L5" s="1197"/>
      <c r="M5" s="1201"/>
      <c r="N5" s="1201"/>
      <c r="O5" s="1201"/>
      <c r="P5" s="1201"/>
      <c r="Q5" s="1201"/>
    </row>
    <row r="6" spans="1:17" ht="15.75">
      <c r="A6" s="1466" t="str">
        <f>TCOS!F9</f>
        <v>Appalachian Power Company</v>
      </c>
      <c r="B6" s="1466"/>
      <c r="C6" s="1466"/>
      <c r="D6" s="1466"/>
      <c r="E6" s="1466"/>
      <c r="F6" s="1466"/>
      <c r="G6" s="1466"/>
      <c r="H6" s="1466"/>
      <c r="I6" s="1466"/>
      <c r="J6" s="1466"/>
      <c r="K6" s="1466"/>
      <c r="L6" s="1202"/>
      <c r="M6" s="1202"/>
      <c r="N6" s="1203"/>
      <c r="O6" s="1203"/>
      <c r="P6" s="1203"/>
      <c r="Q6" s="1203"/>
    </row>
    <row r="9" spans="1:17">
      <c r="B9" s="1467"/>
      <c r="C9" s="1467"/>
      <c r="D9" s="1467"/>
      <c r="E9" s="1467"/>
      <c r="F9" s="1467"/>
      <c r="G9" s="1467"/>
      <c r="H9" s="1467"/>
      <c r="I9" s="1467"/>
      <c r="J9" s="1467"/>
      <c r="K9" s="1467"/>
      <c r="L9" s="1467"/>
      <c r="M9" s="1467"/>
      <c r="N9" s="1205"/>
      <c r="O9" s="1205"/>
      <c r="P9" s="1205"/>
      <c r="Q9" s="1205"/>
    </row>
    <row r="10" spans="1:17">
      <c r="I10" s="1205"/>
      <c r="J10" s="1205"/>
      <c r="K10" s="1205"/>
      <c r="L10" s="1205"/>
      <c r="M10" s="1205"/>
      <c r="N10" s="1205"/>
      <c r="O10" s="1205"/>
      <c r="P10" s="1205"/>
      <c r="Q10" s="1205"/>
    </row>
    <row r="11" spans="1:17">
      <c r="I11" s="1205"/>
      <c r="J11" s="1205"/>
      <c r="K11" s="1205"/>
      <c r="L11" s="1205"/>
      <c r="M11" s="1205"/>
      <c r="N11" s="1205"/>
      <c r="O11" s="1205"/>
      <c r="P11" s="1205"/>
      <c r="Q11" s="1205"/>
    </row>
    <row r="12" spans="1:17">
      <c r="A12" s="1198">
        <v>1</v>
      </c>
      <c r="B12" s="1194" t="s">
        <v>843</v>
      </c>
      <c r="E12" s="1239">
        <v>-127041505</v>
      </c>
      <c r="I12" s="1219"/>
      <c r="J12" s="1205"/>
      <c r="K12" s="1205"/>
      <c r="L12" s="1205"/>
      <c r="M12" s="1205"/>
      <c r="N12" s="1205"/>
      <c r="O12" s="1205"/>
      <c r="P12" s="1205"/>
      <c r="Q12" s="1205"/>
    </row>
    <row r="13" spans="1:17">
      <c r="I13" s="1219"/>
      <c r="J13" s="1205"/>
      <c r="K13" s="1205"/>
      <c r="L13" s="1205"/>
      <c r="M13" s="1205"/>
      <c r="N13" s="1205"/>
      <c r="O13" s="1205"/>
      <c r="P13" s="1205"/>
      <c r="Q13" s="1205"/>
    </row>
    <row r="14" spans="1:17">
      <c r="B14" s="1468" t="str">
        <f>"Allocation of PBOP Settlement Amount for "&amp;TCOS!L4&amp;""</f>
        <v>Allocation of PBOP Settlement Amount for 2018</v>
      </c>
      <c r="C14" s="1468"/>
      <c r="D14" s="1206"/>
      <c r="E14" s="1206"/>
      <c r="F14" s="1206"/>
      <c r="G14" s="1206"/>
      <c r="H14" s="1206"/>
      <c r="I14" s="1206"/>
      <c r="J14" s="1206"/>
      <c r="K14" s="1206"/>
      <c r="L14" s="1206"/>
      <c r="M14" s="1206"/>
      <c r="N14" s="1205"/>
      <c r="O14" s="1205"/>
      <c r="P14" s="1205"/>
      <c r="Q14" s="1205"/>
    </row>
    <row r="15" spans="1:17">
      <c r="C15" s="1467" t="s">
        <v>844</v>
      </c>
      <c r="D15" s="1467"/>
      <c r="E15" s="1467"/>
      <c r="F15" s="1204"/>
      <c r="N15" s="1205"/>
      <c r="O15" s="1205"/>
      <c r="P15" s="1205"/>
      <c r="Q15" s="1205"/>
    </row>
    <row r="16" spans="1:17">
      <c r="B16" s="1219"/>
      <c r="C16" s="1471" t="s">
        <v>845</v>
      </c>
      <c r="D16" s="1471" t="s">
        <v>846</v>
      </c>
      <c r="E16" s="1471" t="s">
        <v>847</v>
      </c>
      <c r="F16" s="1235"/>
      <c r="G16" s="1235"/>
      <c r="H16" s="1235"/>
      <c r="I16" s="1471" t="s">
        <v>848</v>
      </c>
      <c r="N16" s="1205"/>
      <c r="O16" s="1205"/>
      <c r="P16" s="1205"/>
      <c r="Q16" s="1205"/>
    </row>
    <row r="17" spans="1:17" ht="12.75" customHeight="1">
      <c r="C17" s="1469"/>
      <c r="D17" s="1469"/>
      <c r="E17" s="1469"/>
      <c r="F17" s="1471" t="str">
        <f>"Labor Allocator for "&amp;TCOS!L4&amp;""</f>
        <v>Labor Allocator for 2018</v>
      </c>
      <c r="G17" s="1238"/>
      <c r="H17" s="1472" t="s">
        <v>849</v>
      </c>
      <c r="I17" s="1471"/>
      <c r="N17" s="1205"/>
      <c r="O17" s="1205"/>
      <c r="P17" s="1205"/>
      <c r="Q17" s="1205"/>
    </row>
    <row r="18" spans="1:17">
      <c r="A18" s="1207" t="s">
        <v>850</v>
      </c>
      <c r="B18" s="1204" t="s">
        <v>184</v>
      </c>
      <c r="C18" s="1469"/>
      <c r="D18" s="1469"/>
      <c r="E18" s="1469"/>
      <c r="F18" s="1471"/>
      <c r="G18" s="1241" t="s">
        <v>851</v>
      </c>
      <c r="H18" s="1472"/>
      <c r="I18" s="1471"/>
      <c r="N18" s="1205"/>
      <c r="O18" s="1205"/>
      <c r="P18" s="1205"/>
      <c r="Q18" s="1205"/>
    </row>
    <row r="19" spans="1:17">
      <c r="B19" s="1204"/>
      <c r="C19" s="1218"/>
      <c r="D19" s="1218"/>
      <c r="E19" s="1218"/>
      <c r="F19" s="1235"/>
      <c r="G19" s="1238"/>
      <c r="H19" s="1238"/>
      <c r="I19" s="1218"/>
      <c r="N19" s="1205"/>
      <c r="O19" s="1205"/>
      <c r="P19" s="1205"/>
      <c r="Q19" s="1205"/>
    </row>
    <row r="20" spans="1:17" ht="25.5">
      <c r="B20" s="1204"/>
      <c r="C20" s="1235" t="s">
        <v>163</v>
      </c>
      <c r="D20" s="1235" t="s">
        <v>852</v>
      </c>
      <c r="E20" s="1236" t="str">
        <f>"(C )=(B) * "&amp;E12&amp;""</f>
        <v>(C )=(B) * -127041505</v>
      </c>
      <c r="F20" s="1235" t="s">
        <v>166</v>
      </c>
      <c r="G20" s="1242" t="s">
        <v>853</v>
      </c>
      <c r="H20" s="1242" t="s">
        <v>854</v>
      </c>
      <c r="I20" s="1236" t="s">
        <v>855</v>
      </c>
      <c r="N20" s="1205"/>
      <c r="O20" s="1205"/>
      <c r="P20" s="1205"/>
      <c r="Q20" s="1205"/>
    </row>
    <row r="21" spans="1:17">
      <c r="B21" s="1204"/>
      <c r="C21" s="1235" t="str">
        <f>"(Line "&amp;A47&amp;")"</f>
        <v>(Line 14)</v>
      </c>
      <c r="D21" s="1235"/>
      <c r="E21" s="1236"/>
      <c r="F21" s="1235"/>
      <c r="G21" s="1238"/>
      <c r="H21" s="1240"/>
      <c r="I21" s="1236"/>
      <c r="N21" s="1205"/>
      <c r="O21" s="1205"/>
      <c r="P21" s="1205"/>
      <c r="Q21" s="1205"/>
    </row>
    <row r="22" spans="1:17">
      <c r="A22" s="1194">
        <v>2</v>
      </c>
      <c r="B22" s="1194" t="s">
        <v>856</v>
      </c>
      <c r="C22" s="1243">
        <f>D47</f>
        <v>-21243233</v>
      </c>
      <c r="D22" s="1244">
        <f t="shared" ref="D22:D27" si="0">+C22/C$28</f>
        <v>0.36833517741647237</v>
      </c>
      <c r="E22" s="1217">
        <f t="shared" ref="E22:E27" si="1">ROUND(D22*E$28,0)</f>
        <v>-46793855</v>
      </c>
      <c r="F22" s="1314">
        <f>TCOS!L241</f>
        <v>9.2721123183443332E-2</v>
      </c>
      <c r="G22" s="1238">
        <f t="shared" ref="G22:G27" si="2">+C22*F22</f>
        <v>-1969696.4238075884</v>
      </c>
      <c r="H22" s="1238">
        <f t="shared" ref="H22:H27" si="3">+F22*E22</f>
        <v>-4338778.7936831852</v>
      </c>
      <c r="I22" s="1217">
        <f t="shared" ref="I22:I27" si="4">+G22-H22</f>
        <v>2369082.3698755968</v>
      </c>
      <c r="N22" s="1205"/>
      <c r="O22" s="1205"/>
      <c r="P22" s="1205"/>
      <c r="Q22" s="1205"/>
    </row>
    <row r="23" spans="1:17">
      <c r="A23" s="1194">
        <f t="shared" ref="A23:A28" si="5">+A22+1</f>
        <v>3</v>
      </c>
      <c r="B23" s="1194" t="s">
        <v>857</v>
      </c>
      <c r="C23" s="1243">
        <f>F47</f>
        <v>-14970273</v>
      </c>
      <c r="D23" s="1244">
        <f t="shared" si="0"/>
        <v>0.25956869001192173</v>
      </c>
      <c r="E23" s="1217">
        <f t="shared" si="1"/>
        <v>-32975997</v>
      </c>
      <c r="F23" s="1314">
        <v>4.3667610179329998E-2</v>
      </c>
      <c r="G23" s="1238">
        <f t="shared" si="2"/>
        <v>-653716.04564214905</v>
      </c>
      <c r="H23" s="1238">
        <f t="shared" si="3"/>
        <v>-1439982.9822707556</v>
      </c>
      <c r="I23" s="1217">
        <f t="shared" si="4"/>
        <v>786266.93662860652</v>
      </c>
      <c r="N23" s="1205"/>
      <c r="O23" s="1205"/>
      <c r="P23" s="1205"/>
      <c r="Q23" s="1205"/>
    </row>
    <row r="24" spans="1:17">
      <c r="A24" s="1194">
        <f t="shared" si="5"/>
        <v>4</v>
      </c>
      <c r="B24" s="1194" t="s">
        <v>858</v>
      </c>
      <c r="C24" s="1243">
        <f>G47</f>
        <v>-4775930</v>
      </c>
      <c r="D24" s="1244">
        <f t="shared" si="0"/>
        <v>8.2809571588216016E-2</v>
      </c>
      <c r="E24" s="1217">
        <f t="shared" si="1"/>
        <v>-10520253</v>
      </c>
      <c r="F24" s="1314">
        <v>7.9186162169346042E-2</v>
      </c>
      <c r="G24" s="1238">
        <f t="shared" si="2"/>
        <v>-378187.56748944486</v>
      </c>
      <c r="H24" s="1238">
        <f t="shared" si="3"/>
        <v>-833058.46012054919</v>
      </c>
      <c r="I24" s="1217">
        <f t="shared" si="4"/>
        <v>454870.89263110433</v>
      </c>
      <c r="N24" s="1205"/>
      <c r="O24" s="1205"/>
      <c r="P24" s="1205"/>
      <c r="Q24" s="1205"/>
    </row>
    <row r="25" spans="1:17">
      <c r="A25" s="1194">
        <f t="shared" si="5"/>
        <v>5</v>
      </c>
      <c r="B25" s="1194" t="s">
        <v>859</v>
      </c>
      <c r="C25" s="1243">
        <f>H47</f>
        <v>-455895</v>
      </c>
      <c r="D25" s="1244">
        <f t="shared" si="0"/>
        <v>7.9047368029283808E-3</v>
      </c>
      <c r="E25" s="1217">
        <f t="shared" si="1"/>
        <v>-1004230</v>
      </c>
      <c r="F25" s="1314">
        <v>0.1212348327385054</v>
      </c>
      <c r="G25" s="1238">
        <f t="shared" si="2"/>
        <v>-55270.354071320915</v>
      </c>
      <c r="H25" s="1238">
        <f t="shared" si="3"/>
        <v>-121747.65608098927</v>
      </c>
      <c r="I25" s="1217">
        <f t="shared" si="4"/>
        <v>66477.302009668347</v>
      </c>
      <c r="N25" s="1205"/>
      <c r="O25" s="1205"/>
      <c r="P25" s="1205"/>
      <c r="Q25" s="1205"/>
    </row>
    <row r="26" spans="1:17">
      <c r="A26" s="1194">
        <f t="shared" si="5"/>
        <v>6</v>
      </c>
      <c r="B26" s="1194" t="s">
        <v>860</v>
      </c>
      <c r="C26" s="1243">
        <f>I47</f>
        <v>-15305203</v>
      </c>
      <c r="D26" s="1244">
        <f t="shared" si="0"/>
        <v>0.26537602173831665</v>
      </c>
      <c r="E26" s="1217">
        <f t="shared" si="1"/>
        <v>-33713769</v>
      </c>
      <c r="F26" s="1314">
        <v>0.11485618774705483</v>
      </c>
      <c r="G26" s="1238">
        <f t="shared" si="2"/>
        <v>-1757897.2692747868</v>
      </c>
      <c r="H26" s="1238">
        <f t="shared" si="3"/>
        <v>-3872234.981924837</v>
      </c>
      <c r="I26" s="1217">
        <f t="shared" si="4"/>
        <v>2114337.7126500504</v>
      </c>
      <c r="N26" s="1205"/>
      <c r="O26" s="1205"/>
      <c r="P26" s="1205"/>
      <c r="Q26" s="1205"/>
    </row>
    <row r="27" spans="1:17">
      <c r="A27" s="1194">
        <f t="shared" si="5"/>
        <v>7</v>
      </c>
      <c r="B27" s="1194" t="s">
        <v>861</v>
      </c>
      <c r="C27" s="1245">
        <f>J47</f>
        <v>-923113</v>
      </c>
      <c r="D27" s="1244">
        <f t="shared" si="0"/>
        <v>1.6005802442144852E-2</v>
      </c>
      <c r="E27" s="1246">
        <f t="shared" si="1"/>
        <v>-2033401</v>
      </c>
      <c r="F27" s="1314">
        <v>2.6857873753576657E-2</v>
      </c>
      <c r="G27" s="1247">
        <f t="shared" si="2"/>
        <v>-24792.852414285408</v>
      </c>
      <c r="H27" s="1247">
        <f t="shared" si="3"/>
        <v>-54612.827348396524</v>
      </c>
      <c r="I27" s="1246">
        <f t="shared" si="4"/>
        <v>29819.974934111116</v>
      </c>
      <c r="N27" s="1205"/>
      <c r="O27" s="1205"/>
      <c r="P27" s="1205"/>
      <c r="Q27" s="1205"/>
    </row>
    <row r="28" spans="1:17">
      <c r="A28" s="1194">
        <f t="shared" si="5"/>
        <v>8</v>
      </c>
      <c r="B28" s="1204" t="str">
        <f>"Sum of Lines "&amp;A22&amp;" to "&amp;A27&amp;""</f>
        <v>Sum of Lines 2 to 7</v>
      </c>
      <c r="C28" s="1217">
        <f>SUM(C22:C27)</f>
        <v>-57673647</v>
      </c>
      <c r="E28" s="1238">
        <f>+E12</f>
        <v>-127041505</v>
      </c>
      <c r="F28" s="1238"/>
      <c r="G28" s="1238">
        <f>SUM(G22:G27)</f>
        <v>-4839560.5126995761</v>
      </c>
      <c r="H28" s="1238">
        <f>SUM(H22:H27)</f>
        <v>-10660415.701428713</v>
      </c>
      <c r="I28" s="1238">
        <f>SUM(I22:I27)</f>
        <v>5820855.1887291381</v>
      </c>
      <c r="N28" s="1205"/>
      <c r="O28" s="1205"/>
      <c r="P28" s="1205"/>
      <c r="Q28" s="1205"/>
    </row>
    <row r="29" spans="1:17">
      <c r="C29" s="1217"/>
      <c r="N29" s="1205"/>
      <c r="O29" s="1205"/>
      <c r="P29" s="1205"/>
      <c r="Q29" s="1205"/>
    </row>
    <row r="30" spans="1:17">
      <c r="I30" s="1219"/>
      <c r="N30" s="1205"/>
      <c r="O30" s="1205"/>
      <c r="P30" s="1205"/>
      <c r="Q30" s="1205"/>
    </row>
    <row r="31" spans="1:17">
      <c r="F31" s="1194" t="s">
        <v>115</v>
      </c>
      <c r="I31" s="1219"/>
      <c r="J31" s="1205"/>
      <c r="K31" s="1205"/>
      <c r="L31" s="1205"/>
      <c r="M31" s="1205"/>
      <c r="N31" s="1205"/>
      <c r="O31" s="1205"/>
      <c r="P31" s="1205"/>
      <c r="Q31" s="1205"/>
    </row>
    <row r="32" spans="1:17" ht="15.75">
      <c r="F32" s="1330"/>
      <c r="I32" s="1219"/>
      <c r="J32" s="1205"/>
      <c r="K32" s="1205"/>
      <c r="L32" s="1205"/>
      <c r="M32" s="1205"/>
      <c r="N32" s="1205"/>
      <c r="O32" s="1205"/>
      <c r="P32" s="1205"/>
      <c r="Q32" s="1205"/>
    </row>
    <row r="33" spans="1:17">
      <c r="B33" s="1207" t="s">
        <v>870</v>
      </c>
      <c r="F33" s="1208"/>
      <c r="I33" s="1219"/>
      <c r="J33" s="1205"/>
      <c r="K33" s="1205"/>
      <c r="L33" s="1205"/>
      <c r="M33" s="1205"/>
      <c r="N33" s="1205"/>
      <c r="O33" s="1205"/>
      <c r="P33" s="1205"/>
      <c r="Q33" s="1205"/>
    </row>
    <row r="34" spans="1:17">
      <c r="E34" s="1208"/>
      <c r="I34" s="1209"/>
      <c r="J34" s="1205"/>
      <c r="K34" s="1205"/>
      <c r="L34" s="1205"/>
      <c r="M34" s="1205"/>
      <c r="N34" s="1205"/>
      <c r="O34" s="1205"/>
      <c r="P34" s="1205"/>
      <c r="Q34" s="1205"/>
    </row>
    <row r="35" spans="1:17">
      <c r="D35" s="1210" t="s">
        <v>856</v>
      </c>
      <c r="E35" s="1211"/>
      <c r="F35" s="1210" t="s">
        <v>857</v>
      </c>
      <c r="G35" s="1210" t="s">
        <v>858</v>
      </c>
      <c r="H35" s="1210" t="s">
        <v>862</v>
      </c>
      <c r="I35" s="1212" t="s">
        <v>860</v>
      </c>
      <c r="J35" s="1212" t="s">
        <v>861</v>
      </c>
      <c r="K35" s="1212" t="s">
        <v>863</v>
      </c>
      <c r="L35" s="1205"/>
      <c r="M35" s="1205"/>
      <c r="N35" s="1205"/>
      <c r="O35" s="1205"/>
      <c r="P35" s="1205"/>
      <c r="Q35" s="1205"/>
    </row>
    <row r="36" spans="1:17">
      <c r="E36" s="1213"/>
      <c r="I36" s="1205"/>
      <c r="J36" s="1205"/>
      <c r="K36" s="1205"/>
      <c r="L36" s="1205"/>
      <c r="M36" s="1205"/>
      <c r="N36" s="1205"/>
      <c r="O36" s="1205"/>
      <c r="P36" s="1205"/>
      <c r="Q36" s="1205"/>
    </row>
    <row r="37" spans="1:17">
      <c r="A37" s="1194">
        <f>+A28+1</f>
        <v>9</v>
      </c>
      <c r="B37" s="1194" t="s">
        <v>864</v>
      </c>
      <c r="D37" s="1214">
        <v>-16451990</v>
      </c>
      <c r="E37" s="1215"/>
      <c r="F37" s="1214">
        <v>-12482067</v>
      </c>
      <c r="G37" s="1214">
        <v>-3951629</v>
      </c>
      <c r="H37" s="1214">
        <v>-344539</v>
      </c>
      <c r="I37" s="1214">
        <v>-11517600</v>
      </c>
      <c r="J37" s="1214">
        <v>-427831</v>
      </c>
      <c r="K37" s="1216">
        <f>SUM(D37:J37)</f>
        <v>-45175656</v>
      </c>
      <c r="L37" s="1205" t="s">
        <v>115</v>
      </c>
      <c r="M37" s="1205"/>
      <c r="N37" s="1205"/>
      <c r="O37" s="1205"/>
      <c r="P37" s="1205"/>
      <c r="Q37" s="1205"/>
    </row>
    <row r="38" spans="1:17">
      <c r="D38" s="1217"/>
      <c r="E38" s="1213"/>
      <c r="F38" s="1217"/>
      <c r="G38" s="1217"/>
      <c r="H38" s="1217"/>
      <c r="I38" s="1217"/>
      <c r="J38" s="1217"/>
    </row>
    <row r="39" spans="1:17">
      <c r="A39" s="1194">
        <f>+A37+1</f>
        <v>10</v>
      </c>
      <c r="B39" s="1469" t="s">
        <v>865</v>
      </c>
      <c r="C39" s="1469"/>
      <c r="D39" s="1214">
        <v>460632</v>
      </c>
      <c r="E39" s="1215"/>
      <c r="F39" s="1214">
        <v>518852</v>
      </c>
      <c r="G39" s="1214">
        <v>427533</v>
      </c>
      <c r="H39" s="1214"/>
      <c r="I39" s="1214"/>
      <c r="J39" s="1214">
        <v>-385001</v>
      </c>
      <c r="K39" s="1216"/>
      <c r="L39" s="1205"/>
      <c r="M39" s="1205"/>
      <c r="N39" s="1205"/>
      <c r="O39" s="1205"/>
      <c r="P39" s="1205"/>
      <c r="Q39" s="1205"/>
    </row>
    <row r="40" spans="1:17">
      <c r="B40" s="1469"/>
      <c r="C40" s="1469"/>
      <c r="D40" s="1208"/>
      <c r="E40" s="1213"/>
      <c r="F40" s="1208"/>
      <c r="G40" s="1208"/>
      <c r="H40" s="1208"/>
      <c r="I40" s="1208"/>
      <c r="J40" s="1208"/>
      <c r="K40" s="1219"/>
      <c r="L40" s="1205"/>
      <c r="M40" s="1205"/>
      <c r="N40" s="1205"/>
      <c r="O40" s="1205"/>
      <c r="P40" s="1205"/>
      <c r="Q40" s="1205"/>
    </row>
    <row r="41" spans="1:17">
      <c r="A41" s="1194">
        <f>+A39+1</f>
        <v>11</v>
      </c>
      <c r="B41" s="1194" t="s">
        <v>866</v>
      </c>
      <c r="D41" s="1214"/>
      <c r="E41" s="1215"/>
      <c r="F41" s="1214"/>
      <c r="G41" s="1214"/>
      <c r="H41" s="1214"/>
      <c r="I41" s="1214"/>
      <c r="J41" s="1214"/>
      <c r="K41" s="1216">
        <f>SUM(D41:J41)</f>
        <v>0</v>
      </c>
      <c r="L41" s="1205"/>
      <c r="M41" s="1205"/>
      <c r="N41" s="1205"/>
      <c r="O41" s="1205"/>
      <c r="P41" s="1205"/>
      <c r="Q41" s="1205"/>
    </row>
    <row r="42" spans="1:17">
      <c r="D42" s="1220"/>
      <c r="E42" s="1221"/>
      <c r="F42" s="1220"/>
      <c r="G42" s="1220"/>
      <c r="H42" s="1220"/>
      <c r="I42" s="1222"/>
      <c r="J42" s="1222"/>
      <c r="K42" s="1223"/>
      <c r="L42" s="1205"/>
      <c r="M42" s="1205"/>
      <c r="N42" s="1205"/>
      <c r="O42" s="1205"/>
      <c r="P42" s="1205"/>
      <c r="Q42" s="1205"/>
    </row>
    <row r="43" spans="1:17">
      <c r="A43" s="1194">
        <f>+A41+1</f>
        <v>12</v>
      </c>
      <c r="B43" s="1194" t="str">
        <f>"Net Company Expense (Ln "&amp;A37&amp;" + Ln "&amp;A39&amp;" + Ln  "&amp;A41&amp;")"</f>
        <v>Net Company Expense (Ln 9 + Ln 10 + Ln  11)</v>
      </c>
      <c r="D43" s="1208">
        <f t="shared" ref="D43:J43" si="6">+D37+D41+D39</f>
        <v>-15991358</v>
      </c>
      <c r="E43" s="1224"/>
      <c r="F43" s="1208">
        <f t="shared" si="6"/>
        <v>-11963215</v>
      </c>
      <c r="G43" s="1208">
        <f t="shared" si="6"/>
        <v>-3524096</v>
      </c>
      <c r="H43" s="1208">
        <f t="shared" si="6"/>
        <v>-344539</v>
      </c>
      <c r="I43" s="1208">
        <f t="shared" si="6"/>
        <v>-11517600</v>
      </c>
      <c r="J43" s="1208">
        <f t="shared" si="6"/>
        <v>-812832</v>
      </c>
      <c r="K43" s="1216">
        <f>SUM(D43:J43)</f>
        <v>-44153640</v>
      </c>
      <c r="L43" s="1205"/>
      <c r="M43" s="1205"/>
      <c r="N43" s="1205"/>
      <c r="O43" s="1205"/>
      <c r="P43" s="1205"/>
      <c r="Q43" s="1205"/>
    </row>
    <row r="44" spans="1:17">
      <c r="E44" s="1213"/>
      <c r="G44" s="1208">
        <f>+G40+G42</f>
        <v>0</v>
      </c>
      <c r="I44" s="1205"/>
      <c r="J44" s="1205"/>
      <c r="K44" s="1219"/>
      <c r="L44" s="1225"/>
      <c r="M44" s="1205"/>
      <c r="N44" s="1205"/>
      <c r="O44" s="1205"/>
      <c r="P44" s="1205"/>
      <c r="Q44" s="1205"/>
    </row>
    <row r="45" spans="1:17">
      <c r="A45" s="1194">
        <f>+A43+1</f>
        <v>13</v>
      </c>
      <c r="B45" s="1469" t="s">
        <v>867</v>
      </c>
      <c r="C45" s="1469"/>
      <c r="D45" s="1214">
        <v>-5251875</v>
      </c>
      <c r="E45" s="1215"/>
      <c r="F45" s="1214">
        <v>-3007058</v>
      </c>
      <c r="G45" s="1214">
        <v>-1251834</v>
      </c>
      <c r="H45" s="1214">
        <v>-111356</v>
      </c>
      <c r="I45" s="1214">
        <v>-3787603</v>
      </c>
      <c r="J45" s="1214">
        <v>-110281</v>
      </c>
      <c r="K45" s="1216">
        <f>SUM(D45:J45)</f>
        <v>-13520007</v>
      </c>
      <c r="L45" s="1226" t="s">
        <v>115</v>
      </c>
      <c r="M45" s="1205"/>
      <c r="N45" s="1205"/>
      <c r="O45" s="1205"/>
      <c r="P45" s="1205"/>
      <c r="Q45" s="1205"/>
    </row>
    <row r="46" spans="1:17">
      <c r="B46" s="1469"/>
      <c r="C46" s="1469"/>
      <c r="D46" s="1227"/>
      <c r="E46" s="1213"/>
      <c r="I46" s="1205"/>
      <c r="J46" s="1205"/>
      <c r="K46" s="1219"/>
      <c r="L46" s="1205"/>
      <c r="M46" s="1205"/>
      <c r="N46" s="1205"/>
      <c r="O46" s="1205"/>
      <c r="P46" s="1205"/>
      <c r="Q46" s="1205"/>
    </row>
    <row r="47" spans="1:17" ht="13.5" thickBot="1">
      <c r="A47" s="1194">
        <f>+A45+1</f>
        <v>14</v>
      </c>
      <c r="B47" s="1194" t="str">
        <f>"Company PBOP Expense (Ln "&amp;A43&amp;" + Ln  "&amp;A45&amp;")"</f>
        <v>Company PBOP Expense (Ln 12 + Ln  13)</v>
      </c>
      <c r="D47" s="1228">
        <f>+D45+D41+D39+D37</f>
        <v>-21243233</v>
      </c>
      <c r="E47" s="1229"/>
      <c r="F47" s="1228">
        <f>+F45+F41+F39+F37</f>
        <v>-14970273</v>
      </c>
      <c r="G47" s="1228">
        <f>+G45+G41+G39+G37</f>
        <v>-4775930</v>
      </c>
      <c r="H47" s="1228">
        <f>+H45+H41+H39+H37</f>
        <v>-455895</v>
      </c>
      <c r="I47" s="1228">
        <f>+I45+I41+I39+I37</f>
        <v>-15305203</v>
      </c>
      <c r="J47" s="1228">
        <f>+J45+J41+J39+J37</f>
        <v>-923113</v>
      </c>
      <c r="K47" s="1230">
        <f>SUM(D47:J47)</f>
        <v>-57673647</v>
      </c>
      <c r="L47" s="1205"/>
      <c r="M47" s="1205"/>
      <c r="N47" s="1205"/>
      <c r="O47" s="1205"/>
      <c r="P47" s="1205"/>
      <c r="Q47" s="1205"/>
    </row>
    <row r="48" spans="1:17" ht="13.5" thickTop="1">
      <c r="I48" s="1205"/>
      <c r="J48" s="1205"/>
      <c r="K48" s="1205"/>
      <c r="L48" s="1205"/>
      <c r="M48" s="1205"/>
      <c r="N48" s="1205"/>
      <c r="O48" s="1205"/>
      <c r="P48" s="1205"/>
      <c r="Q48" s="1205"/>
    </row>
    <row r="49" spans="1:19">
      <c r="A49" s="1470" t="s">
        <v>868</v>
      </c>
      <c r="B49" s="1470"/>
      <c r="C49" s="1470"/>
      <c r="D49" s="1470"/>
      <c r="E49" s="1470"/>
      <c r="F49" s="1470"/>
      <c r="G49" s="1470"/>
      <c r="H49" s="1470"/>
      <c r="I49" s="1470"/>
      <c r="J49" s="1470"/>
      <c r="K49" s="1470"/>
      <c r="L49" s="1231"/>
      <c r="M49" s="1205"/>
      <c r="N49" s="1205"/>
      <c r="O49" s="1205"/>
      <c r="P49" s="1205"/>
      <c r="Q49" s="1205"/>
    </row>
    <row r="50" spans="1:19">
      <c r="A50" s="1470"/>
      <c r="B50" s="1470"/>
      <c r="C50" s="1470"/>
      <c r="D50" s="1470"/>
      <c r="E50" s="1470"/>
      <c r="F50" s="1470"/>
      <c r="G50" s="1470"/>
      <c r="H50" s="1470"/>
      <c r="I50" s="1470"/>
      <c r="J50" s="1470"/>
      <c r="K50" s="1470"/>
      <c r="L50" s="1205"/>
      <c r="M50" s="1205"/>
      <c r="N50" s="1205"/>
      <c r="O50" s="1205"/>
      <c r="P50" s="1205"/>
      <c r="Q50" s="1205"/>
    </row>
    <row r="51" spans="1:19">
      <c r="A51" s="1470"/>
      <c r="B51" s="1470"/>
      <c r="C51" s="1470"/>
      <c r="D51" s="1470"/>
      <c r="E51" s="1470"/>
      <c r="F51" s="1470"/>
      <c r="G51" s="1470"/>
      <c r="H51" s="1470"/>
      <c r="I51" s="1470"/>
      <c r="J51" s="1470"/>
      <c r="K51" s="1470"/>
      <c r="L51" s="1205"/>
      <c r="M51" s="1205"/>
      <c r="N51" s="1205"/>
      <c r="O51" s="1205"/>
      <c r="P51" s="1205"/>
      <c r="Q51" s="1205"/>
    </row>
    <row r="52" spans="1:19">
      <c r="A52" s="1470"/>
      <c r="B52" s="1470"/>
      <c r="C52" s="1470"/>
      <c r="D52" s="1470"/>
      <c r="E52" s="1470"/>
      <c r="F52" s="1470"/>
      <c r="G52" s="1470"/>
      <c r="H52" s="1470"/>
      <c r="I52" s="1470"/>
      <c r="J52" s="1470"/>
      <c r="K52" s="1470"/>
      <c r="Q52" s="1205"/>
    </row>
    <row r="53" spans="1:19">
      <c r="A53" s="1470"/>
      <c r="B53" s="1470"/>
      <c r="C53" s="1470"/>
      <c r="D53" s="1470"/>
      <c r="E53" s="1470"/>
      <c r="F53" s="1470"/>
      <c r="G53" s="1470"/>
      <c r="H53" s="1470"/>
      <c r="I53" s="1470"/>
      <c r="J53" s="1470"/>
      <c r="K53" s="1470"/>
      <c r="Q53" s="1205"/>
    </row>
    <row r="54" spans="1:19">
      <c r="A54" s="1470"/>
      <c r="B54" s="1470"/>
      <c r="C54" s="1470"/>
      <c r="D54" s="1470"/>
      <c r="E54" s="1470"/>
      <c r="F54" s="1470"/>
      <c r="G54" s="1470"/>
      <c r="H54" s="1470"/>
      <c r="I54" s="1470"/>
      <c r="J54" s="1470"/>
      <c r="K54" s="1470"/>
      <c r="Q54" s="1205"/>
    </row>
    <row r="55" spans="1:19">
      <c r="A55" s="1470"/>
      <c r="B55" s="1470"/>
      <c r="C55" s="1470"/>
      <c r="D55" s="1470"/>
      <c r="E55" s="1470"/>
      <c r="F55" s="1470"/>
      <c r="G55" s="1470"/>
      <c r="H55" s="1470"/>
      <c r="I55" s="1470"/>
      <c r="J55" s="1470"/>
      <c r="K55" s="1470"/>
      <c r="Q55" s="1205"/>
    </row>
    <row r="56" spans="1:19">
      <c r="A56" s="1470"/>
      <c r="B56" s="1470"/>
      <c r="C56" s="1470"/>
      <c r="D56" s="1470"/>
      <c r="E56" s="1470"/>
      <c r="F56" s="1470"/>
      <c r="G56" s="1470"/>
      <c r="H56" s="1470"/>
      <c r="I56" s="1470"/>
      <c r="J56" s="1470"/>
      <c r="K56" s="1470"/>
      <c r="Q56" s="1205"/>
    </row>
    <row r="57" spans="1:19">
      <c r="A57" s="1470"/>
      <c r="B57" s="1470"/>
      <c r="C57" s="1470"/>
      <c r="D57" s="1470"/>
      <c r="E57" s="1470"/>
      <c r="F57" s="1470"/>
      <c r="G57" s="1470"/>
      <c r="H57" s="1470"/>
      <c r="I57" s="1470"/>
      <c r="J57" s="1470"/>
      <c r="K57" s="1470"/>
      <c r="Q57" s="1205"/>
    </row>
    <row r="58" spans="1:19">
      <c r="Q58" s="1232"/>
    </row>
    <row r="59" spans="1:19" ht="18.75" customHeight="1"/>
    <row r="60" spans="1:19" ht="12.75" customHeight="1">
      <c r="Q60" s="1233"/>
      <c r="R60" s="1233"/>
      <c r="S60" s="1233"/>
    </row>
    <row r="61" spans="1:19" ht="68.25" customHeight="1"/>
    <row r="72" ht="39.75" customHeight="1"/>
    <row r="81" spans="17:22" ht="15.75" customHeight="1">
      <c r="Q81" s="1234"/>
      <c r="R81" s="1234"/>
      <c r="S81" s="1234"/>
      <c r="T81" s="1234"/>
      <c r="U81" s="1234"/>
      <c r="V81" s="1217"/>
    </row>
    <row r="82" spans="17:22" ht="6" customHeight="1">
      <c r="Q82" s="1234"/>
      <c r="R82" s="1234"/>
      <c r="S82" s="1234"/>
      <c r="T82" s="1234"/>
      <c r="U82" s="1234"/>
      <c r="V82" s="1217"/>
    </row>
    <row r="83" spans="17:22">
      <c r="Q83" s="1234"/>
      <c r="R83" s="1234"/>
      <c r="S83" s="1234"/>
      <c r="T83" s="1234"/>
      <c r="U83" s="1234"/>
      <c r="V83" s="1217"/>
    </row>
    <row r="84" spans="17:22" ht="6" customHeight="1">
      <c r="Q84" s="1234"/>
      <c r="R84" s="1234"/>
      <c r="S84" s="1234"/>
      <c r="T84" s="1234"/>
      <c r="U84" s="1234"/>
      <c r="V84" s="1217"/>
    </row>
    <row r="85" spans="17:22">
      <c r="Q85" s="1234"/>
      <c r="R85" s="1234"/>
      <c r="S85" s="1234"/>
      <c r="T85" s="1234"/>
      <c r="U85" s="1234"/>
      <c r="V85" s="1217"/>
    </row>
    <row r="86" spans="17:22" ht="12.75" customHeight="1">
      <c r="Q86" s="1234"/>
      <c r="R86" s="1234"/>
      <c r="S86" s="1234"/>
      <c r="T86" s="1234"/>
      <c r="U86" s="1234"/>
      <c r="V86" s="1217"/>
    </row>
    <row r="87" spans="17:22" ht="6.75" customHeight="1">
      <c r="Q87" s="1234"/>
      <c r="R87" s="1234"/>
      <c r="S87" s="1234"/>
      <c r="T87" s="1234"/>
      <c r="U87" s="1234"/>
      <c r="V87" s="1217"/>
    </row>
    <row r="88" spans="17:22">
      <c r="Q88" s="1234"/>
      <c r="R88" s="1234"/>
      <c r="S88" s="1234"/>
      <c r="T88" s="1234"/>
      <c r="U88" s="1234"/>
      <c r="V88" s="1217"/>
    </row>
    <row r="89" spans="17:22">
      <c r="Q89" s="1234"/>
      <c r="R89" s="1234"/>
      <c r="S89" s="1234"/>
      <c r="T89" s="1234"/>
      <c r="U89" s="1217"/>
    </row>
    <row r="90" spans="17:22">
      <c r="Q90" s="1234"/>
      <c r="R90" s="1234"/>
      <c r="S90" s="1234"/>
      <c r="T90" s="1234"/>
      <c r="U90" s="1217"/>
    </row>
    <row r="91" spans="17:22">
      <c r="Q91" s="1234"/>
      <c r="R91" s="1234"/>
      <c r="S91" s="1234"/>
      <c r="T91" s="1234"/>
      <c r="U91" s="1217"/>
    </row>
    <row r="92" spans="17:22">
      <c r="Q92" s="1232"/>
      <c r="R92" s="1232"/>
    </row>
    <row r="93" spans="17:22">
      <c r="Q93" s="1232"/>
    </row>
    <row r="95" spans="17:22" ht="12.75" customHeight="1"/>
    <row r="96" spans="17:22"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spans="13:13">
      <c r="M182" s="1217"/>
    </row>
    <row r="183" spans="13:13">
      <c r="M183" s="1235"/>
    </row>
    <row r="184" spans="13:13">
      <c r="M184" s="1218"/>
    </row>
    <row r="185" spans="13:13" ht="12.75" customHeight="1">
      <c r="M185" s="1218"/>
    </row>
    <row r="186" spans="13:13">
      <c r="M186" s="1218"/>
    </row>
    <row r="187" spans="13:13">
      <c r="M187" s="1218"/>
    </row>
    <row r="188" spans="13:13">
      <c r="M188" s="1236"/>
    </row>
    <row r="189" spans="13:13">
      <c r="M189" s="1236"/>
    </row>
    <row r="190" spans="13:13">
      <c r="M190" s="1217"/>
    </row>
    <row r="191" spans="13:13">
      <c r="M191" s="1217"/>
    </row>
    <row r="192" spans="13:13">
      <c r="M192" s="1217"/>
    </row>
    <row r="193" spans="13:13">
      <c r="M193" s="1217"/>
    </row>
    <row r="194" spans="13:13">
      <c r="M194" s="1217"/>
    </row>
    <row r="195" spans="13:13">
      <c r="M195" s="1217"/>
    </row>
    <row r="196" spans="13:13">
      <c r="M196" s="1237"/>
    </row>
    <row r="197" spans="13:13">
      <c r="M197" s="1238"/>
    </row>
    <row r="199" spans="13:13">
      <c r="M199" s="1217"/>
    </row>
    <row r="204" spans="13:13">
      <c r="M204" s="1217"/>
    </row>
    <row r="205" spans="13:13">
      <c r="M205" s="1235"/>
    </row>
    <row r="206" spans="13:13">
      <c r="M206" s="1218"/>
    </row>
    <row r="207" spans="13:13" ht="12.75" customHeight="1">
      <c r="M207" s="1218"/>
    </row>
    <row r="208" spans="13:13">
      <c r="M208" s="1218"/>
    </row>
    <row r="209" spans="13:13">
      <c r="M209" s="1218"/>
    </row>
    <row r="210" spans="13:13">
      <c r="M210" s="1236"/>
    </row>
    <row r="211" spans="13:13">
      <c r="M211" s="1236"/>
    </row>
    <row r="212" spans="13:13">
      <c r="M212" s="1217"/>
    </row>
    <row r="213" spans="13:13">
      <c r="M213" s="1217"/>
    </row>
    <row r="214" spans="13:13">
      <c r="M214" s="1217"/>
    </row>
    <row r="215" spans="13:13">
      <c r="M215" s="1217"/>
    </row>
    <row r="216" spans="13:13">
      <c r="M216" s="1217"/>
    </row>
    <row r="217" spans="13:13">
      <c r="M217" s="1217"/>
    </row>
    <row r="218" spans="13:13">
      <c r="M218" s="1237"/>
    </row>
    <row r="219" spans="13:13">
      <c r="M219" s="1238"/>
    </row>
    <row r="221" spans="13:13">
      <c r="M221" s="1217"/>
    </row>
    <row r="226" spans="13:13">
      <c r="M226" s="1217"/>
    </row>
    <row r="227" spans="13:13">
      <c r="M227" s="1235"/>
    </row>
    <row r="228" spans="13:13">
      <c r="M228" s="1218"/>
    </row>
    <row r="229" spans="13:13" ht="12.75" customHeight="1">
      <c r="M229" s="1218"/>
    </row>
    <row r="230" spans="13:13">
      <c r="M230" s="1218"/>
    </row>
    <row r="231" spans="13:13">
      <c r="M231" s="1218"/>
    </row>
    <row r="232" spans="13:13">
      <c r="M232" s="1236"/>
    </row>
    <row r="233" spans="13:13">
      <c r="M233" s="1236"/>
    </row>
    <row r="234" spans="13:13">
      <c r="M234" s="1217"/>
    </row>
    <row r="235" spans="13:13">
      <c r="M235" s="1217"/>
    </row>
    <row r="236" spans="13:13">
      <c r="M236" s="1217"/>
    </row>
    <row r="237" spans="13:13">
      <c r="M237" s="1217"/>
    </row>
    <row r="238" spans="13:13">
      <c r="M238" s="1217"/>
    </row>
    <row r="239" spans="13:13">
      <c r="M239" s="1217"/>
    </row>
    <row r="240" spans="13:13">
      <c r="M240" s="1237"/>
    </row>
    <row r="241" spans="13:13">
      <c r="M241" s="1238"/>
    </row>
    <row r="243" spans="13:13">
      <c r="M243" s="1217"/>
    </row>
    <row r="248" spans="13:13">
      <c r="M248" s="1217"/>
    </row>
    <row r="249" spans="13:13">
      <c r="M249" s="1235"/>
    </row>
    <row r="250" spans="13:13">
      <c r="M250" s="1218"/>
    </row>
    <row r="251" spans="13:13" ht="12.75" customHeight="1">
      <c r="M251" s="1218"/>
    </row>
    <row r="252" spans="13:13">
      <c r="M252" s="1218"/>
    </row>
    <row r="253" spans="13:13">
      <c r="M253" s="1218"/>
    </row>
    <row r="254" spans="13:13">
      <c r="M254" s="1236"/>
    </row>
    <row r="255" spans="13:13">
      <c r="M255" s="1236"/>
    </row>
    <row r="256" spans="13:13">
      <c r="M256" s="1217"/>
    </row>
    <row r="257" spans="13:13">
      <c r="M257" s="1217"/>
    </row>
    <row r="258" spans="13:13">
      <c r="M258" s="1217"/>
    </row>
    <row r="259" spans="13:13">
      <c r="M259" s="1217"/>
    </row>
    <row r="260" spans="13:13">
      <c r="M260" s="1217"/>
    </row>
    <row r="261" spans="13:13">
      <c r="M261" s="1217"/>
    </row>
    <row r="262" spans="13:13">
      <c r="M262" s="1237"/>
    </row>
    <row r="263" spans="13:13">
      <c r="M263" s="1238"/>
    </row>
    <row r="265" spans="13:13">
      <c r="M265" s="1217"/>
    </row>
    <row r="270" spans="13:13">
      <c r="M270" s="1217"/>
    </row>
    <row r="271" spans="13:13">
      <c r="M271" s="1235"/>
    </row>
    <row r="272" spans="13:13" ht="12.75" customHeight="1">
      <c r="M272" s="1218"/>
    </row>
    <row r="273" spans="13:13" ht="12.75" customHeight="1">
      <c r="M273" s="1218"/>
    </row>
    <row r="274" spans="13:13">
      <c r="M274" s="1218"/>
    </row>
    <row r="275" spans="13:13" ht="12.75" customHeight="1">
      <c r="M275" s="1218"/>
    </row>
    <row r="276" spans="13:13">
      <c r="M276" s="1236"/>
    </row>
    <row r="277" spans="13:13">
      <c r="M277" s="1236"/>
    </row>
    <row r="278" spans="13:13">
      <c r="M278" s="1217"/>
    </row>
    <row r="279" spans="13:13">
      <c r="M279" s="1217"/>
    </row>
    <row r="280" spans="13:13">
      <c r="M280" s="1217"/>
    </row>
    <row r="281" spans="13:13">
      <c r="M281" s="1217"/>
    </row>
    <row r="282" spans="13:13">
      <c r="M282" s="1217"/>
    </row>
    <row r="283" spans="13:13">
      <c r="M283" s="1217"/>
    </row>
    <row r="284" spans="13:13">
      <c r="M284" s="1237"/>
    </row>
    <row r="285" spans="13:13">
      <c r="M285" s="1238"/>
    </row>
    <row r="287" spans="13:13">
      <c r="M287" s="1217"/>
    </row>
  </sheetData>
  <mergeCells count="16">
    <mergeCell ref="B14:C14"/>
    <mergeCell ref="B39:C40"/>
    <mergeCell ref="B45:C46"/>
    <mergeCell ref="A49:K57"/>
    <mergeCell ref="C15:E15"/>
    <mergeCell ref="C16:C18"/>
    <mergeCell ref="D16:D18"/>
    <mergeCell ref="E16:E18"/>
    <mergeCell ref="I16:I18"/>
    <mergeCell ref="F17:F18"/>
    <mergeCell ref="H17:H18"/>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5"/>
  <sheetViews>
    <sheetView topLeftCell="A7" zoomScaleNormal="100" zoomScaleSheetLayoutView="70" zoomScalePageLayoutView="50" workbookViewId="0">
      <selection activeCell="C18" sqref="C18"/>
    </sheetView>
  </sheetViews>
  <sheetFormatPr defaultColWidth="11.42578125" defaultRowHeight="12.75"/>
  <cols>
    <col min="1" max="1" width="10.42578125" style="903" customWidth="1"/>
    <col min="2" max="2" width="64.5703125" style="227" customWidth="1"/>
    <col min="3" max="3" width="26.5703125" style="227" bestFit="1" customWidth="1"/>
    <col min="4" max="11" width="20.42578125" style="227" customWidth="1"/>
    <col min="12" max="12" width="20" style="227" customWidth="1"/>
    <col min="13" max="14" width="15.140625" style="227" customWidth="1"/>
    <col min="15" max="16384" width="11.42578125" style="227"/>
  </cols>
  <sheetData>
    <row r="1" spans="1:12" ht="15">
      <c r="A1" s="1399" t="s">
        <v>388</v>
      </c>
      <c r="B1" s="1399"/>
      <c r="C1" s="1399"/>
      <c r="D1" s="1399"/>
      <c r="E1" s="1399"/>
      <c r="F1" s="1399"/>
      <c r="G1" s="1399"/>
      <c r="H1" s="907"/>
      <c r="I1" s="907"/>
    </row>
    <row r="2" spans="1:12" ht="15">
      <c r="A2" s="1400" t="str">
        <f>"Cost of Service Formula Rate Using Actual/Projected FF1 Balances"</f>
        <v>Cost of Service Formula Rate Using Actual/Projected FF1 Balances</v>
      </c>
      <c r="B2" s="1400"/>
      <c r="C2" s="1400"/>
      <c r="D2" s="1400"/>
      <c r="E2" s="1400"/>
      <c r="F2" s="1400"/>
      <c r="G2" s="1400"/>
      <c r="H2" s="907"/>
      <c r="I2" s="907"/>
      <c r="J2" s="907"/>
      <c r="L2" s="957"/>
    </row>
    <row r="3" spans="1:12" ht="15">
      <c r="A3" s="1400" t="s">
        <v>671</v>
      </c>
      <c r="B3" s="1400"/>
      <c r="C3" s="1400"/>
      <c r="D3" s="1400"/>
      <c r="E3" s="1400"/>
      <c r="F3" s="1400"/>
      <c r="G3" s="1400"/>
      <c r="H3" s="907"/>
      <c r="I3" s="907"/>
      <c r="J3" s="907"/>
    </row>
    <row r="4" spans="1:12" ht="15">
      <c r="A4" s="1407" t="str">
        <f>TCOS!F9</f>
        <v>Appalachian Power Company</v>
      </c>
      <c r="B4" s="1407"/>
      <c r="C4" s="1407"/>
      <c r="D4" s="1407"/>
      <c r="E4" s="1407"/>
      <c r="F4" s="1407"/>
      <c r="G4" s="1407"/>
      <c r="H4" s="907"/>
      <c r="I4" s="907"/>
      <c r="J4" s="907"/>
    </row>
    <row r="5" spans="1:12">
      <c r="A5" s="907"/>
      <c r="B5" s="953"/>
      <c r="C5" s="953"/>
      <c r="D5" s="953"/>
      <c r="E5" s="956"/>
      <c r="F5" s="955"/>
      <c r="H5" s="955"/>
      <c r="J5" s="955"/>
      <c r="L5" s="955"/>
    </row>
    <row r="6" spans="1:12" ht="12.75" customHeight="1">
      <c r="A6" s="907"/>
      <c r="B6" s="953"/>
      <c r="C6" s="1401" t="s">
        <v>670</v>
      </c>
      <c r="D6" s="1402"/>
      <c r="E6" s="1402"/>
      <c r="F6" s="1402"/>
      <c r="G6" s="1402"/>
      <c r="H6" s="1402"/>
      <c r="I6" s="1402"/>
      <c r="J6" s="1402"/>
      <c r="K6" s="1403"/>
      <c r="L6" s="6"/>
    </row>
    <row r="7" spans="1:12" s="950" customFormat="1" ht="25.5">
      <c r="A7" s="952" t="s">
        <v>660</v>
      </c>
      <c r="B7" s="951" t="s">
        <v>659</v>
      </c>
      <c r="C7" s="929" t="s">
        <v>230</v>
      </c>
      <c r="D7" s="929" t="s">
        <v>668</v>
      </c>
      <c r="E7" s="929" t="s">
        <v>116</v>
      </c>
      <c r="F7" s="929" t="s">
        <v>667</v>
      </c>
      <c r="G7" s="929" t="s">
        <v>439</v>
      </c>
      <c r="H7" s="929" t="s">
        <v>666</v>
      </c>
      <c r="I7" s="929" t="s">
        <v>335</v>
      </c>
      <c r="J7" s="929" t="s">
        <v>665</v>
      </c>
      <c r="K7" s="928" t="s">
        <v>664</v>
      </c>
      <c r="L7" s="6"/>
    </row>
    <row r="8" spans="1:12" s="921" customFormat="1">
      <c r="A8" s="918"/>
      <c r="B8" s="926" t="s">
        <v>654</v>
      </c>
      <c r="C8" s="925" t="s">
        <v>653</v>
      </c>
      <c r="D8" s="925" t="s">
        <v>652</v>
      </c>
      <c r="E8" s="925" t="s">
        <v>651</v>
      </c>
      <c r="F8" s="925" t="s">
        <v>650</v>
      </c>
      <c r="G8" s="925" t="s">
        <v>672</v>
      </c>
      <c r="H8" s="925" t="s">
        <v>673</v>
      </c>
      <c r="I8" s="925" t="s">
        <v>663</v>
      </c>
      <c r="J8" s="925" t="s">
        <v>662</v>
      </c>
      <c r="K8" s="949" t="s">
        <v>661</v>
      </c>
      <c r="L8" s="6"/>
    </row>
    <row r="9" spans="1:12" s="921" customFormat="1" ht="44.25" customHeight="1">
      <c r="A9" s="918"/>
      <c r="B9" s="926" t="s">
        <v>649</v>
      </c>
      <c r="C9" s="948" t="s">
        <v>443</v>
      </c>
      <c r="D9" s="948" t="s">
        <v>448</v>
      </c>
      <c r="E9" s="948" t="s">
        <v>444</v>
      </c>
      <c r="F9" s="948" t="s">
        <v>674</v>
      </c>
      <c r="G9" s="948" t="s">
        <v>445</v>
      </c>
      <c r="H9" s="948" t="s">
        <v>446</v>
      </c>
      <c r="I9" s="948" t="s">
        <v>675</v>
      </c>
      <c r="J9" s="948" t="s">
        <v>676</v>
      </c>
      <c r="K9" s="947" t="s">
        <v>447</v>
      </c>
      <c r="L9" s="6"/>
    </row>
    <row r="10" spans="1:12">
      <c r="A10" s="918">
        <v>1</v>
      </c>
      <c r="B10" s="945" t="s">
        <v>647</v>
      </c>
      <c r="C10" s="913">
        <v>6403925223</v>
      </c>
      <c r="D10" s="913">
        <v>92702170</v>
      </c>
      <c r="E10" s="913">
        <v>3018312132</v>
      </c>
      <c r="F10" s="913">
        <v>0</v>
      </c>
      <c r="G10" s="913">
        <v>3761628851</v>
      </c>
      <c r="H10" s="913">
        <v>3069</v>
      </c>
      <c r="I10" s="913">
        <v>232421405</v>
      </c>
      <c r="J10" s="913">
        <v>781258</v>
      </c>
      <c r="K10" s="913">
        <v>148963347</v>
      </c>
      <c r="L10" s="6"/>
    </row>
    <row r="11" spans="1:12">
      <c r="A11" s="918">
        <f>+A10+1</f>
        <v>2</v>
      </c>
      <c r="B11" s="945" t="s">
        <v>186</v>
      </c>
      <c r="C11" s="913">
        <v>6420274690.7799997</v>
      </c>
      <c r="D11" s="913">
        <v>92702169.939999998</v>
      </c>
      <c r="E11" s="913">
        <v>3027480680.02</v>
      </c>
      <c r="F11" s="913"/>
      <c r="G11" s="913">
        <v>3771582392.9000001</v>
      </c>
      <c r="H11" s="913">
        <v>3068.56</v>
      </c>
      <c r="I11" s="913">
        <v>234286407.84999999</v>
      </c>
      <c r="J11" s="913">
        <v>781035.14</v>
      </c>
      <c r="K11" s="912">
        <v>150765303.53</v>
      </c>
      <c r="L11" s="6"/>
    </row>
    <row r="12" spans="1:12">
      <c r="A12" s="918">
        <f t="shared" ref="A12:A23" si="0">+A11+1</f>
        <v>3</v>
      </c>
      <c r="B12" s="944" t="s">
        <v>560</v>
      </c>
      <c r="C12" s="913">
        <v>6420894548.1999998</v>
      </c>
      <c r="D12" s="913">
        <v>92702169.939999998</v>
      </c>
      <c r="E12" s="913">
        <v>3028306520.6199999</v>
      </c>
      <c r="F12" s="913"/>
      <c r="G12" s="913">
        <v>3777517354.5300002</v>
      </c>
      <c r="H12" s="913">
        <v>3068.56</v>
      </c>
      <c r="I12" s="913">
        <v>235154861.84</v>
      </c>
      <c r="J12" s="913">
        <v>781035.14</v>
      </c>
      <c r="K12" s="912">
        <v>152533061.03999999</v>
      </c>
      <c r="L12" s="6"/>
    </row>
    <row r="13" spans="1:12">
      <c r="A13" s="918">
        <f t="shared" si="0"/>
        <v>4</v>
      </c>
      <c r="B13" s="944" t="s">
        <v>646</v>
      </c>
      <c r="C13" s="913">
        <v>6422758074.4699993</v>
      </c>
      <c r="D13" s="913">
        <v>92702169.939999998</v>
      </c>
      <c r="E13" s="913">
        <v>3030850857.0900002</v>
      </c>
      <c r="F13" s="913"/>
      <c r="G13" s="913">
        <v>3793887530.0599999</v>
      </c>
      <c r="H13" s="913">
        <v>3068.56</v>
      </c>
      <c r="I13" s="913">
        <v>238027962.55000001</v>
      </c>
      <c r="J13" s="913">
        <v>1204128</v>
      </c>
      <c r="K13" s="912">
        <v>154477764.31999999</v>
      </c>
      <c r="L13" s="6"/>
    </row>
    <row r="14" spans="1:12">
      <c r="A14" s="918">
        <f t="shared" si="0"/>
        <v>5</v>
      </c>
      <c r="B14" s="944" t="s">
        <v>188</v>
      </c>
      <c r="C14" s="913">
        <v>6426559395.2599993</v>
      </c>
      <c r="D14" s="913">
        <v>92702169.939999998</v>
      </c>
      <c r="E14" s="913">
        <v>3036962610.5900002</v>
      </c>
      <c r="F14" s="913"/>
      <c r="G14" s="913">
        <v>3806590774.3000002</v>
      </c>
      <c r="H14" s="913">
        <v>3068.56</v>
      </c>
      <c r="I14" s="913">
        <v>239019557.28999999</v>
      </c>
      <c r="J14" s="913">
        <v>1204128.07</v>
      </c>
      <c r="K14" s="912">
        <v>156343534.16</v>
      </c>
      <c r="L14" s="6"/>
    </row>
    <row r="15" spans="1:12">
      <c r="A15" s="918">
        <f t="shared" si="0"/>
        <v>6</v>
      </c>
      <c r="B15" s="944" t="s">
        <v>189</v>
      </c>
      <c r="C15" s="913">
        <v>6430735200.5199995</v>
      </c>
      <c r="D15" s="913">
        <v>92702169.939999998</v>
      </c>
      <c r="E15" s="913">
        <v>3048548784.5599999</v>
      </c>
      <c r="F15" s="913"/>
      <c r="G15" s="913">
        <v>3822127457.1500001</v>
      </c>
      <c r="H15" s="913">
        <v>3068.56</v>
      </c>
      <c r="I15" s="913">
        <v>239617098.97999999</v>
      </c>
      <c r="J15" s="913">
        <v>1204128.07</v>
      </c>
      <c r="K15" s="912">
        <v>158494989.40000001</v>
      </c>
      <c r="L15" s="6"/>
    </row>
    <row r="16" spans="1:12">
      <c r="A16" s="918">
        <f t="shared" si="0"/>
        <v>7</v>
      </c>
      <c r="B16" s="944" t="s">
        <v>383</v>
      </c>
      <c r="C16" s="913">
        <v>6433581615.4399996</v>
      </c>
      <c r="D16" s="913">
        <v>92702169.939999998</v>
      </c>
      <c r="E16" s="913">
        <v>3081157767.6900001</v>
      </c>
      <c r="F16" s="913"/>
      <c r="G16" s="913">
        <v>3841924196.0300002</v>
      </c>
      <c r="H16" s="913">
        <v>3068.56</v>
      </c>
      <c r="I16" s="913">
        <v>242567828.83000001</v>
      </c>
      <c r="J16" s="913">
        <v>1204128.07</v>
      </c>
      <c r="K16" s="912">
        <v>160384853.19999999</v>
      </c>
      <c r="L16" s="6"/>
    </row>
    <row r="17" spans="1:12">
      <c r="A17" s="918">
        <f t="shared" si="0"/>
        <v>8</v>
      </c>
      <c r="B17" s="944" t="s">
        <v>190</v>
      </c>
      <c r="C17" s="913">
        <v>6437549584.4499998</v>
      </c>
      <c r="D17" s="913">
        <v>92702169.939999998</v>
      </c>
      <c r="E17" s="913">
        <v>3107557220.23</v>
      </c>
      <c r="F17" s="913"/>
      <c r="G17" s="913">
        <v>3854886650.25</v>
      </c>
      <c r="H17" s="913">
        <v>3068.56</v>
      </c>
      <c r="I17" s="913">
        <v>242723177.31</v>
      </c>
      <c r="J17" s="913">
        <v>1204128.07</v>
      </c>
      <c r="K17" s="912">
        <v>166516642.87</v>
      </c>
      <c r="L17" s="6"/>
    </row>
    <row r="18" spans="1:12">
      <c r="A18" s="918">
        <f t="shared" si="0"/>
        <v>9</v>
      </c>
      <c r="B18" s="944" t="s">
        <v>645</v>
      </c>
      <c r="C18" s="913">
        <v>6447759298.29</v>
      </c>
      <c r="D18" s="913">
        <v>92702169.939999998</v>
      </c>
      <c r="E18" s="913">
        <v>3119018287.5999999</v>
      </c>
      <c r="F18" s="913"/>
      <c r="G18" s="913">
        <v>3882492364.04</v>
      </c>
      <c r="H18" s="913">
        <v>3068.56</v>
      </c>
      <c r="I18" s="913">
        <v>243486323.38999999</v>
      </c>
      <c r="J18" s="913">
        <v>1204128.07</v>
      </c>
      <c r="K18" s="912">
        <v>168607287.03</v>
      </c>
      <c r="L18" s="6"/>
    </row>
    <row r="19" spans="1:12">
      <c r="A19" s="918">
        <f t="shared" si="0"/>
        <v>10</v>
      </c>
      <c r="B19" s="944" t="s">
        <v>193</v>
      </c>
      <c r="C19" s="913">
        <v>6446931865.0799999</v>
      </c>
      <c r="D19" s="913">
        <v>92702169.939999998</v>
      </c>
      <c r="E19" s="913">
        <v>3139670534.9699998</v>
      </c>
      <c r="F19" s="913"/>
      <c r="G19" s="913">
        <v>3895283534.6100001</v>
      </c>
      <c r="H19" s="913">
        <v>3068.56</v>
      </c>
      <c r="I19" s="913">
        <v>243766535.38</v>
      </c>
      <c r="J19" s="913">
        <v>1204128.07</v>
      </c>
      <c r="K19" s="912">
        <v>169522317.69999999</v>
      </c>
      <c r="L19" s="6"/>
    </row>
    <row r="20" spans="1:12">
      <c r="A20" s="918">
        <f t="shared" si="0"/>
        <v>11</v>
      </c>
      <c r="B20" s="944" t="s">
        <v>561</v>
      </c>
      <c r="C20" s="913">
        <v>6451391008.6399994</v>
      </c>
      <c r="D20" s="913">
        <v>92702169.939999998</v>
      </c>
      <c r="E20" s="913">
        <v>3186821268.21</v>
      </c>
      <c r="F20" s="913"/>
      <c r="G20" s="913">
        <v>3917552858.0799999</v>
      </c>
      <c r="H20" s="913">
        <v>3068.56</v>
      </c>
      <c r="I20" s="913">
        <v>243995359.88999999</v>
      </c>
      <c r="J20" s="913">
        <v>1204128.07</v>
      </c>
      <c r="K20" s="912">
        <v>173069210.91999999</v>
      </c>
      <c r="L20" s="6"/>
    </row>
    <row r="21" spans="1:12">
      <c r="A21" s="918">
        <f t="shared" si="0"/>
        <v>12</v>
      </c>
      <c r="B21" s="944" t="s">
        <v>562</v>
      </c>
      <c r="C21" s="913">
        <v>6452830554.5499992</v>
      </c>
      <c r="D21" s="913">
        <v>92702169.939999998</v>
      </c>
      <c r="E21" s="913">
        <v>3213573079.5999999</v>
      </c>
      <c r="F21" s="913"/>
      <c r="G21" s="913">
        <v>3950351578.0700002</v>
      </c>
      <c r="H21" s="913">
        <v>3068.56</v>
      </c>
      <c r="I21" s="913">
        <v>248849296.69999999</v>
      </c>
      <c r="J21" s="913">
        <v>1204128.07</v>
      </c>
      <c r="K21" s="912">
        <v>176175945.84999999</v>
      </c>
      <c r="L21" s="6"/>
    </row>
    <row r="22" spans="1:12">
      <c r="A22" s="916">
        <f t="shared" si="0"/>
        <v>13</v>
      </c>
      <c r="B22" s="943" t="s">
        <v>644</v>
      </c>
      <c r="C22" s="913">
        <v>6470486699</v>
      </c>
      <c r="D22" s="913">
        <v>98479986</v>
      </c>
      <c r="E22" s="913">
        <v>3316166220</v>
      </c>
      <c r="F22" s="913"/>
      <c r="G22" s="913">
        <v>3986944489</v>
      </c>
      <c r="H22" s="913">
        <v>3069</v>
      </c>
      <c r="I22" s="913">
        <v>257411442</v>
      </c>
      <c r="J22" s="913">
        <v>1204128</v>
      </c>
      <c r="K22" s="942">
        <v>182526693</v>
      </c>
      <c r="L22" s="6"/>
    </row>
    <row r="23" spans="1:12" ht="13.5" thickBot="1">
      <c r="A23" s="1191">
        <f t="shared" si="0"/>
        <v>14</v>
      </c>
      <c r="B23" s="1192" t="s">
        <v>878</v>
      </c>
      <c r="C23" s="939">
        <f>SUM(C10:C22)/13</f>
        <v>6435821365.9753857</v>
      </c>
      <c r="D23" s="939">
        <f>SUM(D10:D22)/13</f>
        <v>93146617.333846182</v>
      </c>
      <c r="E23" s="939">
        <f t="shared" ref="E23:K23" si="1">SUM(E10:E22)/13</f>
        <v>3104186612.5523076</v>
      </c>
      <c r="F23" s="939">
        <f t="shared" si="1"/>
        <v>0</v>
      </c>
      <c r="G23" s="939">
        <f t="shared" si="1"/>
        <v>3850982310.0015388</v>
      </c>
      <c r="H23" s="939">
        <f t="shared" si="1"/>
        <v>3068.6276923076925</v>
      </c>
      <c r="I23" s="939">
        <f t="shared" si="1"/>
        <v>241640558.23153844</v>
      </c>
      <c r="J23" s="939">
        <f t="shared" si="1"/>
        <v>1106508.3723076924</v>
      </c>
      <c r="K23" s="938">
        <f t="shared" si="1"/>
        <v>162952380.77076924</v>
      </c>
      <c r="L23" s="6"/>
    </row>
    <row r="24" spans="1:12" ht="13.5" thickTop="1">
      <c r="A24" s="907"/>
      <c r="B24" s="906"/>
      <c r="C24" s="937"/>
      <c r="D24" s="904"/>
      <c r="E24" s="904"/>
      <c r="F24" s="904"/>
      <c r="G24" s="937"/>
      <c r="H24" s="937"/>
      <c r="I24" s="937"/>
      <c r="J24" s="954"/>
      <c r="K24" s="954"/>
      <c r="L24" s="6"/>
    </row>
    <row r="25" spans="1:12" ht="12.75" customHeight="1">
      <c r="A25" s="907"/>
      <c r="B25" s="953"/>
      <c r="C25" s="1404" t="s">
        <v>669</v>
      </c>
      <c r="D25" s="1405"/>
      <c r="E25" s="1405"/>
      <c r="F25" s="1405"/>
      <c r="G25" s="1405"/>
      <c r="H25" s="1405"/>
      <c r="I25" s="1405"/>
      <c r="J25" s="1405"/>
      <c r="K25" s="1406"/>
      <c r="L25" s="6"/>
    </row>
    <row r="26" spans="1:12" s="950" customFormat="1" ht="25.5">
      <c r="A26" s="952" t="s">
        <v>660</v>
      </c>
      <c r="B26" s="951" t="s">
        <v>659</v>
      </c>
      <c r="C26" s="929" t="s">
        <v>230</v>
      </c>
      <c r="D26" s="929" t="s">
        <v>668</v>
      </c>
      <c r="E26" s="929" t="s">
        <v>116</v>
      </c>
      <c r="F26" s="929" t="s">
        <v>667</v>
      </c>
      <c r="G26" s="929" t="s">
        <v>439</v>
      </c>
      <c r="H26" s="929" t="s">
        <v>666</v>
      </c>
      <c r="I26" s="929" t="s">
        <v>335</v>
      </c>
      <c r="J26" s="929" t="s">
        <v>665</v>
      </c>
      <c r="K26" s="928" t="s">
        <v>664</v>
      </c>
      <c r="L26" s="6"/>
    </row>
    <row r="27" spans="1:12" s="921" customFormat="1">
      <c r="A27" s="918"/>
      <c r="B27" s="926" t="s">
        <v>654</v>
      </c>
      <c r="C27" s="925" t="s">
        <v>653</v>
      </c>
      <c r="D27" s="925" t="s">
        <v>652</v>
      </c>
      <c r="E27" s="925" t="s">
        <v>651</v>
      </c>
      <c r="F27" s="925" t="s">
        <v>650</v>
      </c>
      <c r="G27" s="925" t="s">
        <v>672</v>
      </c>
      <c r="H27" s="925" t="s">
        <v>673</v>
      </c>
      <c r="I27" s="925" t="s">
        <v>663</v>
      </c>
      <c r="J27" s="925" t="s">
        <v>662</v>
      </c>
      <c r="K27" s="949" t="s">
        <v>661</v>
      </c>
      <c r="L27" s="6"/>
    </row>
    <row r="28" spans="1:12" s="921" customFormat="1" ht="44.25" customHeight="1">
      <c r="A28" s="918"/>
      <c r="B28" s="926" t="s">
        <v>649</v>
      </c>
      <c r="C28" s="948" t="s">
        <v>380</v>
      </c>
      <c r="D28" s="948" t="s">
        <v>677</v>
      </c>
      <c r="E28" s="948" t="s">
        <v>381</v>
      </c>
      <c r="F28" s="948" t="s">
        <v>678</v>
      </c>
      <c r="G28" s="948" t="s">
        <v>508</v>
      </c>
      <c r="H28" s="948" t="s">
        <v>679</v>
      </c>
      <c r="I28" s="948" t="s">
        <v>482</v>
      </c>
      <c r="J28" s="948" t="s">
        <v>680</v>
      </c>
      <c r="K28" s="947" t="s">
        <v>509</v>
      </c>
      <c r="L28" s="6"/>
    </row>
    <row r="29" spans="1:12">
      <c r="A29" s="918">
        <f>+A23+1</f>
        <v>15</v>
      </c>
      <c r="B29" s="945" t="s">
        <v>647</v>
      </c>
      <c r="C29" s="913">
        <v>2339391946</v>
      </c>
      <c r="D29" s="913">
        <v>32579043.829999998</v>
      </c>
      <c r="E29" s="913">
        <v>716358523</v>
      </c>
      <c r="F29" s="913">
        <v>0</v>
      </c>
      <c r="G29" s="913">
        <v>1273050942</v>
      </c>
      <c r="H29" s="913">
        <v>1860.44</v>
      </c>
      <c r="I29" s="913">
        <v>78541582</v>
      </c>
      <c r="J29" s="913">
        <v>638767.32000000007</v>
      </c>
      <c r="K29" s="946">
        <v>80343332</v>
      </c>
      <c r="L29" s="6"/>
    </row>
    <row r="30" spans="1:12">
      <c r="A30" s="918">
        <f>+A29+1</f>
        <v>16</v>
      </c>
      <c r="B30" s="945" t="s">
        <v>186</v>
      </c>
      <c r="C30" s="913">
        <v>2349826420.2800002</v>
      </c>
      <c r="D30" s="913">
        <v>32857831</v>
      </c>
      <c r="E30" s="913">
        <v>724633001.08999991</v>
      </c>
      <c r="F30" s="913"/>
      <c r="G30" s="913">
        <v>1272336346.4300001</v>
      </c>
      <c r="H30" s="913">
        <v>1866.17</v>
      </c>
      <c r="I30" s="913">
        <v>82046153.689999998</v>
      </c>
      <c r="J30" s="913">
        <v>639763.74</v>
      </c>
      <c r="K30" s="912">
        <v>78741284.620000005</v>
      </c>
      <c r="L30" s="6"/>
    </row>
    <row r="31" spans="1:12">
      <c r="A31" s="918">
        <f t="shared" ref="A31:A42" si="2">+A30+1</f>
        <v>17</v>
      </c>
      <c r="B31" s="944" t="s">
        <v>560</v>
      </c>
      <c r="C31" s="913">
        <v>2359004953.04</v>
      </c>
      <c r="D31" s="913">
        <v>33136619.07</v>
      </c>
      <c r="E31" s="913">
        <v>718474208.10000002</v>
      </c>
      <c r="F31" s="913"/>
      <c r="G31" s="913">
        <v>1288017189.49</v>
      </c>
      <c r="H31" s="913">
        <v>1871.9</v>
      </c>
      <c r="I31" s="913">
        <v>82442337.75999999</v>
      </c>
      <c r="J31" s="913">
        <v>640760.16</v>
      </c>
      <c r="K31" s="912">
        <v>80728630</v>
      </c>
      <c r="L31" s="6"/>
    </row>
    <row r="32" spans="1:12">
      <c r="A32" s="918">
        <f t="shared" si="2"/>
        <v>18</v>
      </c>
      <c r="B32" s="944" t="s">
        <v>646</v>
      </c>
      <c r="C32" s="913">
        <v>2373880245.77</v>
      </c>
      <c r="D32" s="913">
        <v>33415406.43</v>
      </c>
      <c r="E32" s="913">
        <v>718880029.21000004</v>
      </c>
      <c r="F32" s="913"/>
      <c r="G32" s="913">
        <v>1294030047.8000002</v>
      </c>
      <c r="H32" s="913">
        <v>1877.63</v>
      </c>
      <c r="I32" s="913">
        <v>82682483.909999996</v>
      </c>
      <c r="J32" s="913">
        <v>641756.6</v>
      </c>
      <c r="K32" s="912">
        <v>82310766.819999993</v>
      </c>
      <c r="L32" s="6"/>
    </row>
    <row r="33" spans="1:12">
      <c r="A33" s="918">
        <f t="shared" si="2"/>
        <v>19</v>
      </c>
      <c r="B33" s="944" t="s">
        <v>188</v>
      </c>
      <c r="C33" s="913">
        <v>2388186218.4499998</v>
      </c>
      <c r="D33" s="913">
        <v>33694194.18</v>
      </c>
      <c r="E33" s="913">
        <v>721268401.26999998</v>
      </c>
      <c r="F33" s="913"/>
      <c r="G33" s="913">
        <v>1301707312.5999999</v>
      </c>
      <c r="H33" s="913">
        <v>1883.36</v>
      </c>
      <c r="I33" s="913">
        <v>83012943.75</v>
      </c>
      <c r="J33" s="913">
        <v>645117.86</v>
      </c>
      <c r="K33" s="912">
        <v>84313746.530000001</v>
      </c>
      <c r="L33" s="6"/>
    </row>
    <row r="34" spans="1:12">
      <c r="A34" s="918">
        <f t="shared" si="2"/>
        <v>20</v>
      </c>
      <c r="B34" s="944" t="s">
        <v>189</v>
      </c>
      <c r="C34" s="913">
        <v>2404004047.2200003</v>
      </c>
      <c r="D34" s="913">
        <v>33972981.609999999</v>
      </c>
      <c r="E34" s="913">
        <v>723923073.52999997</v>
      </c>
      <c r="F34" s="913"/>
      <c r="G34" s="913">
        <v>1309572671.8099999</v>
      </c>
      <c r="H34" s="913">
        <v>1889.09</v>
      </c>
      <c r="I34" s="913">
        <v>83450056.75</v>
      </c>
      <c r="J34" s="913">
        <v>648479.09</v>
      </c>
      <c r="K34" s="912">
        <v>86347822.439999998</v>
      </c>
      <c r="L34" s="6"/>
    </row>
    <row r="35" spans="1:12">
      <c r="A35" s="918">
        <f t="shared" si="2"/>
        <v>21</v>
      </c>
      <c r="B35" s="944" t="s">
        <v>383</v>
      </c>
      <c r="C35" s="913">
        <v>2412265013.8600001</v>
      </c>
      <c r="D35" s="913">
        <v>34251769.149999999</v>
      </c>
      <c r="E35" s="913">
        <v>724978354.33000004</v>
      </c>
      <c r="F35" s="913"/>
      <c r="G35" s="913">
        <v>1315969209.9799998</v>
      </c>
      <c r="H35" s="913">
        <v>1894.82</v>
      </c>
      <c r="I35" s="913">
        <v>83871062.929999992</v>
      </c>
      <c r="J35" s="913">
        <v>651796.93999999994</v>
      </c>
      <c r="K35" s="912">
        <v>87265188.409999996</v>
      </c>
      <c r="L35" s="6"/>
    </row>
    <row r="36" spans="1:12">
      <c r="A36" s="918">
        <f t="shared" si="2"/>
        <v>22</v>
      </c>
      <c r="B36" s="944" t="s">
        <v>190</v>
      </c>
      <c r="C36" s="913">
        <v>2459645481.21</v>
      </c>
      <c r="D36" s="913">
        <v>34530556.859999999</v>
      </c>
      <c r="E36" s="913">
        <v>728384189.51999998</v>
      </c>
      <c r="F36" s="913"/>
      <c r="G36" s="913">
        <v>1323186640.53</v>
      </c>
      <c r="H36" s="913">
        <v>1900.55</v>
      </c>
      <c r="I36" s="913">
        <v>84279179.079999998</v>
      </c>
      <c r="J36" s="913">
        <v>655114.77</v>
      </c>
      <c r="K36" s="912">
        <v>89366619.629999995</v>
      </c>
      <c r="L36" s="6"/>
    </row>
    <row r="37" spans="1:12">
      <c r="A37" s="918">
        <f t="shared" si="2"/>
        <v>23</v>
      </c>
      <c r="B37" s="944" t="s">
        <v>645</v>
      </c>
      <c r="C37" s="913">
        <v>2231183336.0999999</v>
      </c>
      <c r="D37" s="913">
        <v>34809344.259999998</v>
      </c>
      <c r="E37" s="913">
        <v>730391827.70000005</v>
      </c>
      <c r="F37" s="913"/>
      <c r="G37" s="913">
        <v>1328861475.1899998</v>
      </c>
      <c r="H37" s="913">
        <v>1906.28</v>
      </c>
      <c r="I37" s="913">
        <v>84617536.959999993</v>
      </c>
      <c r="J37" s="913">
        <v>658432.6</v>
      </c>
      <c r="K37" s="912">
        <v>91570723.079999998</v>
      </c>
      <c r="L37" s="6"/>
    </row>
    <row r="38" spans="1:12">
      <c r="A38" s="918">
        <f t="shared" si="2"/>
        <v>24</v>
      </c>
      <c r="B38" s="944" t="s">
        <v>193</v>
      </c>
      <c r="C38" s="913">
        <v>2438065210.1100001</v>
      </c>
      <c r="D38" s="913">
        <v>35088131.789999999</v>
      </c>
      <c r="E38" s="913">
        <v>731809977.69999993</v>
      </c>
      <c r="F38" s="913"/>
      <c r="G38" s="913">
        <v>1336511211.6700001</v>
      </c>
      <c r="H38" s="913">
        <v>1912.01</v>
      </c>
      <c r="I38" s="913">
        <v>85138593.290000007</v>
      </c>
      <c r="J38" s="913">
        <v>661750.49</v>
      </c>
      <c r="K38" s="912">
        <v>91452505.359999999</v>
      </c>
      <c r="L38" s="6"/>
    </row>
    <row r="39" spans="1:12">
      <c r="A39" s="918">
        <f t="shared" si="2"/>
        <v>25</v>
      </c>
      <c r="B39" s="944" t="s">
        <v>561</v>
      </c>
      <c r="C39" s="913">
        <v>2446159499.5500007</v>
      </c>
      <c r="D39" s="913">
        <v>35366919.25</v>
      </c>
      <c r="E39" s="913">
        <v>733457228.42999995</v>
      </c>
      <c r="F39" s="913"/>
      <c r="G39" s="913">
        <v>1342582291.27</v>
      </c>
      <c r="H39" s="913">
        <v>1917.74</v>
      </c>
      <c r="I39" s="913">
        <v>85159518.99000001</v>
      </c>
      <c r="J39" s="913">
        <v>665068.29</v>
      </c>
      <c r="K39" s="912">
        <v>93706227.620000005</v>
      </c>
      <c r="L39" s="6"/>
    </row>
    <row r="40" spans="1:12">
      <c r="A40" s="918">
        <f t="shared" si="2"/>
        <v>26</v>
      </c>
      <c r="B40" s="944" t="s">
        <v>562</v>
      </c>
      <c r="C40" s="913">
        <v>2450845183.3599997</v>
      </c>
      <c r="D40" s="913">
        <v>35645706.869999997</v>
      </c>
      <c r="E40" s="913">
        <v>732495543.9000001</v>
      </c>
      <c r="F40" s="913"/>
      <c r="G40" s="913">
        <v>1349342542.02</v>
      </c>
      <c r="H40" s="913">
        <v>1923.47</v>
      </c>
      <c r="I40" s="913">
        <v>85563982.430000007</v>
      </c>
      <c r="J40" s="913">
        <v>668386.14</v>
      </c>
      <c r="K40" s="912">
        <v>96019064.799999997</v>
      </c>
      <c r="L40" s="6"/>
    </row>
    <row r="41" spans="1:12">
      <c r="A41" s="916">
        <f t="shared" si="2"/>
        <v>27</v>
      </c>
      <c r="B41" s="943" t="s">
        <v>644</v>
      </c>
      <c r="C41" s="913">
        <v>2462461325</v>
      </c>
      <c r="D41" s="913">
        <v>35924494.520000003</v>
      </c>
      <c r="E41" s="913">
        <v>722997623</v>
      </c>
      <c r="F41" s="913"/>
      <c r="G41" s="913">
        <v>1355943862</v>
      </c>
      <c r="H41" s="913">
        <v>1929.2</v>
      </c>
      <c r="I41" s="913">
        <v>82245299</v>
      </c>
      <c r="J41" s="913">
        <v>671703.98</v>
      </c>
      <c r="K41" s="942">
        <v>97238164</v>
      </c>
      <c r="L41" s="6"/>
    </row>
    <row r="42" spans="1:12" ht="13.5" thickBot="1">
      <c r="A42" s="941">
        <f t="shared" si="2"/>
        <v>28</v>
      </c>
      <c r="B42" s="1192" t="s">
        <v>878</v>
      </c>
      <c r="C42" s="939">
        <f>SUM(C29:C41)/13</f>
        <v>2393455298.4576921</v>
      </c>
      <c r="D42" s="939">
        <f t="shared" ref="D42:K42" si="3">SUM(D29:D41)/13</f>
        <v>34251769.140000001</v>
      </c>
      <c r="E42" s="939">
        <f t="shared" si="3"/>
        <v>725234767.75230765</v>
      </c>
      <c r="F42" s="939">
        <f t="shared" si="3"/>
        <v>0</v>
      </c>
      <c r="G42" s="939">
        <f t="shared" si="3"/>
        <v>1314700903.2915385</v>
      </c>
      <c r="H42" s="939">
        <f t="shared" si="3"/>
        <v>1894.82</v>
      </c>
      <c r="I42" s="939">
        <f t="shared" si="3"/>
        <v>83311594.656923071</v>
      </c>
      <c r="J42" s="939">
        <f t="shared" si="3"/>
        <v>652838.30615384621</v>
      </c>
      <c r="K42" s="938">
        <f t="shared" si="3"/>
        <v>87646467.331538454</v>
      </c>
      <c r="L42" s="6"/>
    </row>
    <row r="43" spans="1:12" ht="13.5" thickTop="1">
      <c r="A43" s="907"/>
      <c r="B43" s="906"/>
      <c r="C43" s="937"/>
      <c r="D43" s="904"/>
      <c r="E43" s="904"/>
      <c r="F43" s="904"/>
      <c r="G43" s="937"/>
      <c r="H43"/>
      <c r="I43"/>
      <c r="J43"/>
      <c r="K43"/>
      <c r="L43" s="6"/>
    </row>
    <row r="44" spans="1:12">
      <c r="A44" s="907"/>
      <c r="B44" s="906"/>
      <c r="C44" s="937"/>
      <c r="D44" s="904"/>
      <c r="E44" s="904"/>
      <c r="F44" s="904"/>
      <c r="G44" s="937"/>
      <c r="H44" s="937"/>
      <c r="I44" s="937"/>
    </row>
    <row r="45" spans="1:12">
      <c r="A45" s="936"/>
      <c r="B45" s="935"/>
      <c r="C45" s="934"/>
      <c r="D45" s="933"/>
      <c r="E45" s="933"/>
      <c r="F45" s="932"/>
      <c r="G45"/>
      <c r="H45"/>
      <c r="I45"/>
      <c r="J45"/>
      <c r="K45"/>
      <c r="L45" s="6"/>
    </row>
    <row r="46" spans="1:12" ht="72" customHeight="1">
      <c r="A46" s="931" t="s">
        <v>660</v>
      </c>
      <c r="B46" s="925" t="s">
        <v>659</v>
      </c>
      <c r="C46" s="930" t="s">
        <v>658</v>
      </c>
      <c r="D46" s="929" t="s">
        <v>657</v>
      </c>
      <c r="E46" s="929" t="s">
        <v>656</v>
      </c>
      <c r="F46" s="928" t="s">
        <v>655</v>
      </c>
      <c r="G46"/>
      <c r="H46"/>
      <c r="I46"/>
      <c r="J46"/>
      <c r="K46"/>
      <c r="L46" s="6"/>
    </row>
    <row r="47" spans="1:12" s="921" customFormat="1">
      <c r="A47" s="918"/>
      <c r="B47" s="925" t="s">
        <v>654</v>
      </c>
      <c r="C47" s="927" t="s">
        <v>653</v>
      </c>
      <c r="D47" s="925" t="s">
        <v>652</v>
      </c>
      <c r="E47" s="925" t="s">
        <v>651</v>
      </c>
      <c r="F47" s="926" t="s">
        <v>650</v>
      </c>
      <c r="G47"/>
      <c r="H47"/>
      <c r="I47"/>
      <c r="J47"/>
      <c r="K47"/>
      <c r="L47" s="6"/>
    </row>
    <row r="48" spans="1:12" s="921" customFormat="1" ht="63.75">
      <c r="A48" s="918"/>
      <c r="B48" s="925" t="s">
        <v>649</v>
      </c>
      <c r="C48" s="924" t="s">
        <v>681</v>
      </c>
      <c r="D48" s="924" t="s">
        <v>682</v>
      </c>
      <c r="E48" s="923" t="s">
        <v>648</v>
      </c>
      <c r="F48" s="922" t="s">
        <v>648</v>
      </c>
      <c r="G48"/>
      <c r="H48"/>
      <c r="I48"/>
      <c r="J48"/>
      <c r="K48"/>
      <c r="L48" s="6"/>
    </row>
    <row r="49" spans="1:12">
      <c r="A49" s="918">
        <f>+A42+1</f>
        <v>29</v>
      </c>
      <c r="B49" s="919" t="s">
        <v>647</v>
      </c>
      <c r="C49" s="920">
        <v>70365478.989999995</v>
      </c>
      <c r="D49" s="913">
        <v>21236219.969999999</v>
      </c>
      <c r="E49" s="913">
        <v>0</v>
      </c>
      <c r="F49" s="912">
        <v>0</v>
      </c>
      <c r="G49"/>
      <c r="H49"/>
      <c r="I49"/>
      <c r="J49"/>
      <c r="K49"/>
      <c r="L49" s="6"/>
    </row>
    <row r="50" spans="1:12">
      <c r="A50" s="918">
        <f>+A49+1</f>
        <v>30</v>
      </c>
      <c r="B50" s="919" t="s">
        <v>186</v>
      </c>
      <c r="C50" s="914">
        <v>72808691.069999993</v>
      </c>
      <c r="D50" s="913">
        <v>20135080.09</v>
      </c>
      <c r="E50" s="913"/>
      <c r="F50" s="912"/>
      <c r="G50"/>
      <c r="H50"/>
      <c r="I50"/>
      <c r="J50"/>
      <c r="K50"/>
      <c r="L50" s="6"/>
    </row>
    <row r="51" spans="1:12">
      <c r="A51" s="918">
        <f t="shared" ref="A51:A62" si="4">+A50+1</f>
        <v>31</v>
      </c>
      <c r="B51" s="917" t="s">
        <v>560</v>
      </c>
      <c r="C51" s="914">
        <v>72815941.379999995</v>
      </c>
      <c r="D51" s="913">
        <v>20231770.850000001</v>
      </c>
      <c r="E51" s="913"/>
      <c r="F51" s="912"/>
      <c r="G51"/>
      <c r="H51"/>
      <c r="I51"/>
      <c r="J51"/>
      <c r="K51"/>
      <c r="L51" s="6"/>
    </row>
    <row r="52" spans="1:12">
      <c r="A52" s="918">
        <f t="shared" si="4"/>
        <v>32</v>
      </c>
      <c r="B52" s="917" t="s">
        <v>646</v>
      </c>
      <c r="C52" s="914">
        <v>72817959.5</v>
      </c>
      <c r="D52" s="913">
        <v>20301144.140000001</v>
      </c>
      <c r="E52" s="913"/>
      <c r="F52" s="912"/>
      <c r="G52"/>
      <c r="H52"/>
      <c r="I52"/>
      <c r="J52"/>
      <c r="K52"/>
      <c r="L52" s="6"/>
    </row>
    <row r="53" spans="1:12">
      <c r="A53" s="918">
        <f t="shared" si="4"/>
        <v>33</v>
      </c>
      <c r="B53" s="917" t="s">
        <v>188</v>
      </c>
      <c r="C53" s="914">
        <v>72818177.480000004</v>
      </c>
      <c r="D53" s="913">
        <v>20418757.23</v>
      </c>
      <c r="E53" s="913"/>
      <c r="F53" s="912"/>
      <c r="G53"/>
      <c r="H53"/>
      <c r="I53"/>
      <c r="J53"/>
      <c r="K53"/>
      <c r="L53" s="6"/>
    </row>
    <row r="54" spans="1:12">
      <c r="A54" s="918">
        <f t="shared" si="4"/>
        <v>34</v>
      </c>
      <c r="B54" s="917" t="s">
        <v>189</v>
      </c>
      <c r="C54" s="914">
        <v>72818091.189999998</v>
      </c>
      <c r="D54" s="913">
        <v>20188840.75</v>
      </c>
      <c r="E54" s="913"/>
      <c r="F54" s="912"/>
      <c r="G54"/>
      <c r="H54"/>
      <c r="I54"/>
      <c r="J54"/>
      <c r="K54"/>
      <c r="L54" s="6"/>
    </row>
    <row r="55" spans="1:12">
      <c r="A55" s="918">
        <f t="shared" si="4"/>
        <v>35</v>
      </c>
      <c r="B55" s="917" t="s">
        <v>383</v>
      </c>
      <c r="C55" s="914">
        <v>72818083.510000005</v>
      </c>
      <c r="D55" s="913">
        <v>20306454.030000001</v>
      </c>
      <c r="E55" s="913"/>
      <c r="F55" s="912"/>
      <c r="G55"/>
      <c r="H55"/>
      <c r="I55"/>
      <c r="J55"/>
      <c r="K55"/>
      <c r="L55" s="6"/>
    </row>
    <row r="56" spans="1:12">
      <c r="A56" s="918">
        <f t="shared" si="4"/>
        <v>36</v>
      </c>
      <c r="B56" s="917" t="s">
        <v>190</v>
      </c>
      <c r="C56" s="914">
        <v>72818083.510000005</v>
      </c>
      <c r="D56" s="913">
        <v>20424067.309999999</v>
      </c>
      <c r="E56" s="913"/>
      <c r="F56" s="912"/>
      <c r="G56"/>
      <c r="H56"/>
      <c r="I56"/>
      <c r="J56"/>
      <c r="K56"/>
      <c r="L56" s="6"/>
    </row>
    <row r="57" spans="1:12">
      <c r="A57" s="918">
        <f t="shared" si="4"/>
        <v>37</v>
      </c>
      <c r="B57" s="917" t="s">
        <v>645</v>
      </c>
      <c r="C57" s="914">
        <v>73145413.150000006</v>
      </c>
      <c r="D57" s="913">
        <v>20869010.219999999</v>
      </c>
      <c r="E57" s="913"/>
      <c r="F57" s="912"/>
      <c r="G57"/>
      <c r="H57"/>
      <c r="I57"/>
      <c r="J57"/>
      <c r="K57"/>
      <c r="L57" s="6"/>
    </row>
    <row r="58" spans="1:12">
      <c r="A58" s="918">
        <f t="shared" si="4"/>
        <v>38</v>
      </c>
      <c r="B58" s="917" t="s">
        <v>193</v>
      </c>
      <c r="C58" s="914">
        <v>73145413.150000006</v>
      </c>
      <c r="D58" s="913">
        <v>20987133.59</v>
      </c>
      <c r="E58" s="913"/>
      <c r="F58" s="912"/>
      <c r="G58"/>
      <c r="H58"/>
      <c r="I58"/>
      <c r="J58"/>
      <c r="K58"/>
      <c r="L58" s="6"/>
    </row>
    <row r="59" spans="1:12">
      <c r="A59" s="918">
        <f t="shared" si="4"/>
        <v>39</v>
      </c>
      <c r="B59" s="917" t="s">
        <v>561</v>
      </c>
      <c r="C59" s="914">
        <v>73145413.150000006</v>
      </c>
      <c r="D59" s="913">
        <v>21104982.579999998</v>
      </c>
      <c r="E59" s="913"/>
      <c r="F59" s="912"/>
      <c r="G59"/>
      <c r="H59"/>
      <c r="I59"/>
      <c r="J59"/>
      <c r="K59"/>
      <c r="L59" s="6"/>
    </row>
    <row r="60" spans="1:12">
      <c r="A60" s="918">
        <f t="shared" si="4"/>
        <v>40</v>
      </c>
      <c r="B60" s="917" t="s">
        <v>562</v>
      </c>
      <c r="C60" s="914">
        <v>73145413.150000006</v>
      </c>
      <c r="D60" s="913">
        <v>21223105.949999999</v>
      </c>
      <c r="E60" s="913"/>
      <c r="F60" s="912"/>
      <c r="G60"/>
      <c r="H60"/>
      <c r="I60"/>
      <c r="J60"/>
      <c r="K60"/>
      <c r="L60" s="6"/>
    </row>
    <row r="61" spans="1:12">
      <c r="A61" s="916">
        <f t="shared" si="4"/>
        <v>41</v>
      </c>
      <c r="B61" s="915" t="s">
        <v>644</v>
      </c>
      <c r="C61" s="914">
        <v>81906440.430000007</v>
      </c>
      <c r="D61" s="913">
        <v>21341228.620000001</v>
      </c>
      <c r="E61" s="913"/>
      <c r="F61" s="912"/>
      <c r="G61"/>
      <c r="H61"/>
      <c r="I61"/>
      <c r="J61"/>
      <c r="K61"/>
      <c r="L61" s="6"/>
    </row>
    <row r="62" spans="1:12" ht="13.5" thickBot="1">
      <c r="A62" s="911">
        <f t="shared" si="4"/>
        <v>42</v>
      </c>
      <c r="B62" s="1192" t="s">
        <v>878</v>
      </c>
      <c r="C62" s="939">
        <f>SUM(C49:C61)/13</f>
        <v>73428353.819999993</v>
      </c>
      <c r="D62" s="909">
        <f>SUM(D49:D61)/13</f>
        <v>20674445.794615384</v>
      </c>
      <c r="E62" s="909">
        <f>SUM(E49:E61)/13</f>
        <v>0</v>
      </c>
      <c r="F62" s="908">
        <f>SUM(F49:F61)/13</f>
        <v>0</v>
      </c>
      <c r="G62"/>
      <c r="H62"/>
      <c r="I62"/>
      <c r="J62"/>
      <c r="K62"/>
      <c r="L62" s="6"/>
    </row>
    <row r="63" spans="1:12" ht="13.5" thickTop="1">
      <c r="A63" s="907"/>
      <c r="B63" s="906"/>
      <c r="G63"/>
      <c r="H63"/>
      <c r="I63"/>
      <c r="J63"/>
      <c r="K63"/>
    </row>
    <row r="64" spans="1:12">
      <c r="A64" s="907">
        <v>43</v>
      </c>
      <c r="B64" s="906" t="s">
        <v>643</v>
      </c>
      <c r="D64" s="905">
        <f>+E42-D62</f>
        <v>704560321.95769227</v>
      </c>
      <c r="I64" s="904"/>
      <c r="K64" s="6"/>
    </row>
    <row r="65" spans="1:7" customFormat="1"/>
    <row r="66" spans="1:7" customFormat="1">
      <c r="A66" s="903"/>
      <c r="B66" s="282"/>
      <c r="C66" s="283"/>
      <c r="D66" s="284"/>
      <c r="E66" s="71"/>
      <c r="F66" s="71"/>
      <c r="G66" s="85"/>
    </row>
    <row r="67" spans="1:7" customFormat="1" ht="25.5">
      <c r="A67" s="962" t="s">
        <v>3</v>
      </c>
      <c r="B67" s="282"/>
      <c r="C67" s="959" t="s">
        <v>2</v>
      </c>
      <c r="D67" s="960" t="str">
        <f>"Balance @ December 31, "&amp;TCOS!L4&amp;""</f>
        <v>Balance @ December 31, 2018</v>
      </c>
      <c r="E67" s="961" t="str">
        <f>"Balance @ December 31, "&amp;TCOS!L4-1&amp;""</f>
        <v>Balance @ December 31, 2017</v>
      </c>
      <c r="F67" s="961" t="str">
        <f>"Average Balance for "&amp;TCOS!L4&amp;""</f>
        <v>Average Balance for 2018</v>
      </c>
      <c r="G67" s="85"/>
    </row>
    <row r="68" spans="1:7" customFormat="1">
      <c r="A68" s="90"/>
      <c r="B68" s="925" t="s">
        <v>654</v>
      </c>
      <c r="C68" s="925" t="s">
        <v>653</v>
      </c>
      <c r="D68" s="925" t="s">
        <v>652</v>
      </c>
      <c r="E68" s="925" t="s">
        <v>651</v>
      </c>
      <c r="F68" s="925" t="s">
        <v>650</v>
      </c>
      <c r="G68" s="85"/>
    </row>
    <row r="69" spans="1:7" customFormat="1">
      <c r="A69" s="285">
        <f>+A64+1</f>
        <v>44</v>
      </c>
      <c r="B69" s="90" t="s">
        <v>3</v>
      </c>
      <c r="C69" s="288" t="s">
        <v>375</v>
      </c>
      <c r="D69" s="848">
        <v>4509287</v>
      </c>
      <c r="E69" s="848">
        <v>4194815</v>
      </c>
      <c r="F69" s="135">
        <f>IF(E69="",0,AVERAGE(D69:E69))</f>
        <v>4352051</v>
      </c>
    </row>
    <row r="70" spans="1:7" customFormat="1">
      <c r="A70" s="281"/>
      <c r="B70" s="289"/>
      <c r="C70" s="289"/>
      <c r="F70" s="85"/>
    </row>
    <row r="71" spans="1:7" customFormat="1">
      <c r="A71" s="280">
        <f>+A69+1</f>
        <v>45</v>
      </c>
      <c r="B71" s="90" t="s">
        <v>841</v>
      </c>
      <c r="C71" s="306" t="s">
        <v>67</v>
      </c>
      <c r="D71" s="848">
        <v>1632033</v>
      </c>
      <c r="E71" s="848">
        <v>1632033</v>
      </c>
      <c r="F71" s="135">
        <f>IF(E71="",0,AVERAGE(D71:E71))</f>
        <v>1632033</v>
      </c>
    </row>
    <row r="72" spans="1:7" customFormat="1">
      <c r="A72" s="230"/>
      <c r="B72" s="230"/>
      <c r="C72" s="230"/>
      <c r="D72" s="230"/>
    </row>
    <row r="73" spans="1:7" customFormat="1">
      <c r="A73" s="90" t="s">
        <v>237</v>
      </c>
      <c r="B73" s="230"/>
      <c r="C73" s="230"/>
      <c r="D73" s="230"/>
    </row>
    <row r="74" spans="1:7" customFormat="1">
      <c r="A74" s="286"/>
      <c r="B74" s="287" t="s">
        <v>361</v>
      </c>
      <c r="C74" s="287"/>
      <c r="D74" s="79"/>
      <c r="E74" s="79"/>
      <c r="F74" s="79"/>
    </row>
    <row r="75" spans="1:7" customFormat="1">
      <c r="A75" s="285">
        <f>+A71+1</f>
        <v>46</v>
      </c>
      <c r="B75" s="1250" t="s">
        <v>115</v>
      </c>
      <c r="C75" s="1109"/>
      <c r="D75" s="848">
        <v>0</v>
      </c>
      <c r="E75" s="848" t="s">
        <v>115</v>
      </c>
      <c r="F75" s="135">
        <f>IF(E75="",0,AVERAGE(D75:E75))</f>
        <v>0</v>
      </c>
    </row>
    <row r="76" spans="1:7" customFormat="1">
      <c r="A76" s="285">
        <f>+A75+1</f>
        <v>47</v>
      </c>
      <c r="B76" s="849"/>
      <c r="C76" s="849"/>
      <c r="D76" s="848"/>
      <c r="E76" s="848"/>
      <c r="F76" s="135">
        <f>IF(E76="",0,AVERAGE(D76:E76))</f>
        <v>0</v>
      </c>
    </row>
    <row r="77" spans="1:7" customFormat="1">
      <c r="A77" s="285">
        <f>+A76+1</f>
        <v>48</v>
      </c>
      <c r="B77" s="849"/>
      <c r="C77" s="849"/>
      <c r="D77" s="848"/>
      <c r="E77" s="848"/>
      <c r="F77" s="135">
        <f>IF(E77="",0,AVERAGE(D77:E77))</f>
        <v>0</v>
      </c>
    </row>
    <row r="78" spans="1:7" customFormat="1">
      <c r="A78" s="285">
        <f>+A77+1</f>
        <v>49</v>
      </c>
      <c r="B78" s="849"/>
      <c r="C78" s="849"/>
      <c r="D78" s="848"/>
      <c r="E78" s="848"/>
      <c r="F78" s="135">
        <f>IF(E78="",0,AVERAGE(D78:E78))</f>
        <v>0</v>
      </c>
    </row>
    <row r="79" spans="1:7" customFormat="1">
      <c r="A79" s="285">
        <f>+A78+1</f>
        <v>50</v>
      </c>
      <c r="B79" s="849"/>
      <c r="C79" s="849"/>
      <c r="D79" s="850"/>
      <c r="E79" s="850"/>
      <c r="F79" s="967">
        <f>IF(E79="",0,AVERAGE(D79:E79))</f>
        <v>0</v>
      </c>
    </row>
    <row r="80" spans="1:7" customFormat="1">
      <c r="A80" s="285">
        <f>+A79+1</f>
        <v>51</v>
      </c>
      <c r="B80" s="287" t="s">
        <v>498</v>
      </c>
      <c r="C80" s="287"/>
      <c r="D80" s="185">
        <f>SUM(D75:D79)</f>
        <v>0</v>
      </c>
      <c r="E80" s="185">
        <f>SUM(E75:E79)</f>
        <v>0</v>
      </c>
      <c r="F80" s="185">
        <f>SUM(F75:F79)</f>
        <v>0</v>
      </c>
    </row>
    <row r="81" spans="1:7" customFormat="1">
      <c r="A81" s="285"/>
      <c r="B81" s="287"/>
      <c r="C81" s="287"/>
      <c r="D81" s="185"/>
      <c r="E81" s="185"/>
      <c r="F81" s="185"/>
    </row>
    <row r="82" spans="1:7" customFormat="1" ht="18">
      <c r="A82" s="90" t="s">
        <v>766</v>
      </c>
      <c r="B82" s="900"/>
      <c r="C82" s="900"/>
      <c r="D82" s="900"/>
      <c r="E82" s="79"/>
      <c r="F82" s="79"/>
      <c r="G82" s="79"/>
    </row>
    <row r="83" spans="1:7" customFormat="1">
      <c r="A83" s="76"/>
      <c r="B83" s="236"/>
      <c r="C83" s="239"/>
      <c r="D83" s="8"/>
      <c r="E83" s="79"/>
      <c r="F83" s="79"/>
      <c r="G83" s="79"/>
    </row>
    <row r="84" spans="1:7" customFormat="1">
      <c r="A84" s="76">
        <f>+A80+1</f>
        <v>52</v>
      </c>
      <c r="B84" s="13" t="s">
        <v>168</v>
      </c>
      <c r="C84" s="13" t="s">
        <v>307</v>
      </c>
      <c r="D84" s="963"/>
      <c r="E84" s="21"/>
      <c r="F84" s="13"/>
      <c r="G84" s="21"/>
    </row>
    <row r="85" spans="1:7" customFormat="1" ht="14.25">
      <c r="A85" s="964" t="s">
        <v>759</v>
      </c>
      <c r="B85" s="1250" t="s">
        <v>884</v>
      </c>
      <c r="C85" s="1109">
        <v>2282003</v>
      </c>
      <c r="D85" s="848">
        <v>260397</v>
      </c>
      <c r="E85" s="848">
        <v>262773</v>
      </c>
      <c r="F85" s="968">
        <f>IF(E85="",0,AVERAGE(D85:E85))</f>
        <v>261585</v>
      </c>
      <c r="G85" s="21"/>
    </row>
    <row r="86" spans="1:7" customFormat="1" ht="14.25">
      <c r="A86" s="965" t="s">
        <v>760</v>
      </c>
      <c r="B86" s="848"/>
      <c r="C86" s="1109"/>
      <c r="D86" s="848"/>
      <c r="E86" s="848"/>
      <c r="F86" s="969">
        <f>IF(E86="",0,AVERAGE(D86:E86))</f>
        <v>0</v>
      </c>
      <c r="G86" s="21"/>
    </row>
    <row r="87" spans="1:7" customFormat="1" ht="18" customHeight="1">
      <c r="A87" s="966">
        <v>54</v>
      </c>
      <c r="B87" s="21"/>
      <c r="C87" s="5" t="s">
        <v>119</v>
      </c>
      <c r="D87" s="905">
        <f>SUM(D85:D86)</f>
        <v>260397</v>
      </c>
      <c r="E87" s="905">
        <f>SUM(E85:E86)</f>
        <v>262773</v>
      </c>
      <c r="F87" s="905">
        <f>SUM(F85:F86)</f>
        <v>261585</v>
      </c>
      <c r="G87" s="21"/>
    </row>
    <row r="88" spans="1:7" customFormat="1">
      <c r="A88" s="285"/>
      <c r="B88" s="287"/>
      <c r="C88" s="287"/>
      <c r="D88" s="287"/>
      <c r="G88" s="21"/>
    </row>
    <row r="89" spans="1:7">
      <c r="A89" s="958" t="s">
        <v>685</v>
      </c>
      <c r="B89" s="287"/>
      <c r="C89" s="287"/>
      <c r="D89" s="287"/>
      <c r="G89" s="963"/>
    </row>
    <row r="90" spans="1:7">
      <c r="A90" s="958" t="s">
        <v>684</v>
      </c>
      <c r="B90" s="287"/>
      <c r="C90" s="287"/>
      <c r="D90" s="287"/>
    </row>
    <row r="91" spans="1:7">
      <c r="A91"/>
      <c r="B91"/>
      <c r="C91"/>
      <c r="D91"/>
    </row>
    <row r="92" spans="1:7">
      <c r="A92"/>
      <c r="B92"/>
      <c r="C92"/>
      <c r="D92"/>
    </row>
    <row r="93" spans="1:7">
      <c r="A93"/>
      <c r="B93"/>
      <c r="C93"/>
      <c r="D93"/>
    </row>
    <row r="94" spans="1:7">
      <c r="A94"/>
      <c r="B94"/>
      <c r="C94"/>
      <c r="D94"/>
    </row>
    <row r="95" spans="1:7">
      <c r="A95"/>
      <c r="B95"/>
      <c r="C95"/>
      <c r="D95"/>
    </row>
  </sheetData>
  <mergeCells count="6">
    <mergeCell ref="A1:G1"/>
    <mergeCell ref="A2:G2"/>
    <mergeCell ref="A3:G3"/>
    <mergeCell ref="C6:K6"/>
    <mergeCell ref="C25:K25"/>
    <mergeCell ref="A4:G4"/>
  </mergeCells>
  <pageMargins left="0.7" right="0.7" top="0.75" bottom="0.75" header="0.3" footer="0.3"/>
  <pageSetup scale="46"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45"/>
  <sheetViews>
    <sheetView defaultGridColor="0" topLeftCell="D1" colorId="22" zoomScale="70" zoomScaleNormal="70" workbookViewId="0">
      <selection activeCell="T24" sqref="T24"/>
    </sheetView>
  </sheetViews>
  <sheetFormatPr defaultColWidth="14.5703125" defaultRowHeight="15"/>
  <cols>
    <col min="1" max="1" width="33.140625" style="779" customWidth="1"/>
    <col min="2" max="2" width="11" style="779" customWidth="1"/>
    <col min="3" max="3" width="16.85546875" style="779" customWidth="1"/>
    <col min="4" max="4" width="16.5703125" style="779" customWidth="1"/>
    <col min="5" max="5" width="14.5703125" style="779" customWidth="1"/>
    <col min="6" max="6" width="4.85546875" style="779" customWidth="1"/>
    <col min="7" max="7" width="14.5703125" style="276" customWidth="1"/>
    <col min="8" max="8" width="18.42578125" style="779" customWidth="1"/>
    <col min="9" max="9" width="15.5703125" style="779" customWidth="1"/>
    <col min="10" max="10" width="6.140625" style="779" customWidth="1"/>
    <col min="11" max="11" width="14.5703125" style="779" customWidth="1"/>
    <col min="12" max="12" width="16.140625" style="779" customWidth="1"/>
    <col min="13" max="13" width="14.5703125" style="779" customWidth="1"/>
    <col min="14" max="14" width="4.85546875" style="779" customWidth="1"/>
    <col min="15" max="15" width="18.5703125" style="779" customWidth="1"/>
    <col min="16" max="16384" width="14.5703125" style="779"/>
  </cols>
  <sheetData>
    <row r="1" spans="1:19" ht="15.75">
      <c r="A1" s="899" t="s">
        <v>115</v>
      </c>
    </row>
    <row r="2" spans="1:19" ht="15.75">
      <c r="A2" s="899" t="s">
        <v>115</v>
      </c>
    </row>
    <row r="3" spans="1:19" ht="19.5">
      <c r="A3" s="1473" t="s">
        <v>392</v>
      </c>
      <c r="B3" s="1473"/>
      <c r="C3" s="1473"/>
      <c r="D3" s="1473"/>
      <c r="E3" s="1473"/>
      <c r="F3" s="1473"/>
      <c r="G3" s="1473"/>
      <c r="H3" s="1473"/>
      <c r="I3" s="1473"/>
      <c r="J3" s="1473"/>
      <c r="K3" s="1473"/>
      <c r="L3" s="1473"/>
      <c r="M3" s="1473"/>
      <c r="N3" s="1473"/>
      <c r="O3" s="1473"/>
      <c r="P3" s="778"/>
      <c r="Q3" s="778"/>
      <c r="R3" s="778"/>
      <c r="S3" s="778"/>
    </row>
    <row r="4" spans="1:19" ht="19.5">
      <c r="A4" s="1473" t="s">
        <v>393</v>
      </c>
      <c r="B4" s="1473"/>
      <c r="C4" s="1473"/>
      <c r="D4" s="1473"/>
      <c r="E4" s="1473"/>
      <c r="F4" s="1473"/>
      <c r="G4" s="1473"/>
      <c r="H4" s="1473"/>
      <c r="I4" s="1473"/>
      <c r="J4" s="1473"/>
      <c r="K4" s="1473"/>
      <c r="L4" s="1473"/>
      <c r="M4" s="1473"/>
      <c r="N4" s="1473"/>
      <c r="O4" s="1473"/>
      <c r="P4" s="778"/>
      <c r="Q4" s="778"/>
      <c r="R4" s="778"/>
      <c r="S4" s="778"/>
    </row>
    <row r="5" spans="1:19" ht="19.5">
      <c r="A5" s="1473" t="s">
        <v>394</v>
      </c>
      <c r="B5" s="1473"/>
      <c r="C5" s="1473"/>
      <c r="D5" s="1473"/>
      <c r="E5" s="1473"/>
      <c r="F5" s="1473"/>
      <c r="G5" s="1473"/>
      <c r="H5" s="1473"/>
      <c r="I5" s="1473"/>
      <c r="J5" s="1473"/>
      <c r="K5" s="1473"/>
      <c r="L5" s="1473"/>
      <c r="M5" s="1473"/>
      <c r="N5" s="1473"/>
      <c r="O5" s="1473"/>
      <c r="P5" s="778"/>
      <c r="Q5" s="778"/>
      <c r="R5" s="778"/>
      <c r="S5" s="778"/>
    </row>
    <row r="6" spans="1:19" ht="19.5">
      <c r="A6" s="1473" t="s">
        <v>395</v>
      </c>
      <c r="B6" s="1473"/>
      <c r="C6" s="1473"/>
      <c r="D6" s="1473"/>
      <c r="E6" s="1473"/>
      <c r="F6" s="1473"/>
      <c r="G6" s="1473"/>
      <c r="H6" s="1473"/>
      <c r="I6" s="1473"/>
      <c r="J6" s="1473"/>
      <c r="K6" s="1473"/>
      <c r="L6" s="1473"/>
      <c r="M6" s="1473"/>
      <c r="N6" s="1473"/>
      <c r="O6" s="1473"/>
      <c r="P6" s="778"/>
      <c r="Q6" s="778"/>
      <c r="R6" s="778"/>
      <c r="S6" s="778"/>
    </row>
    <row r="7" spans="1:19" ht="19.5">
      <c r="A7" s="1473" t="s">
        <v>604</v>
      </c>
      <c r="B7" s="1473"/>
      <c r="C7" s="1473"/>
      <c r="D7" s="1473"/>
      <c r="E7" s="1473"/>
      <c r="F7" s="1473"/>
      <c r="G7" s="1473"/>
      <c r="H7" s="1473"/>
      <c r="I7" s="1473"/>
      <c r="J7" s="1473"/>
      <c r="K7" s="1473"/>
      <c r="L7" s="1473"/>
      <c r="M7" s="1473"/>
      <c r="N7" s="1473"/>
      <c r="O7" s="1473"/>
      <c r="P7" s="778"/>
      <c r="Q7" s="778"/>
      <c r="R7" s="778"/>
      <c r="S7" s="778"/>
    </row>
    <row r="8" spans="1:19" ht="19.5">
      <c r="A8" s="1473" t="s">
        <v>396</v>
      </c>
      <c r="B8" s="1473"/>
      <c r="C8" s="1473"/>
      <c r="D8" s="1473"/>
      <c r="E8" s="1473"/>
      <c r="F8" s="1473"/>
      <c r="G8" s="1473"/>
      <c r="H8" s="1473"/>
      <c r="I8" s="1473"/>
      <c r="J8" s="1473"/>
      <c r="K8" s="1473"/>
      <c r="L8" s="1473"/>
      <c r="M8" s="1473"/>
      <c r="N8" s="1473"/>
      <c r="O8" s="1473"/>
      <c r="P8" s="778"/>
      <c r="Q8" s="778"/>
      <c r="R8" s="778"/>
      <c r="S8" s="778"/>
    </row>
    <row r="9" spans="1:19" ht="19.5">
      <c r="A9" s="1474" t="str">
        <f>TCOS!F9</f>
        <v>Appalachian Power Company</v>
      </c>
      <c r="B9" s="1473"/>
      <c r="C9" s="1473"/>
      <c r="D9" s="1473"/>
      <c r="E9" s="1473"/>
      <c r="F9" s="1473"/>
      <c r="G9" s="1473"/>
      <c r="H9" s="1473"/>
      <c r="I9" s="1473"/>
      <c r="J9" s="1473"/>
      <c r="K9" s="1473"/>
      <c r="L9" s="1473"/>
      <c r="M9" s="1473"/>
      <c r="N9" s="1473"/>
      <c r="O9" s="1473"/>
      <c r="P9" s="778"/>
      <c r="Q9" s="778"/>
      <c r="R9" s="778"/>
      <c r="S9" s="778"/>
    </row>
    <row r="10" spans="1:19" ht="19.5">
      <c r="A10" s="1475"/>
      <c r="B10" s="1475"/>
      <c r="C10" s="1475"/>
      <c r="D10" s="1475"/>
      <c r="E10" s="1475"/>
      <c r="F10" s="1475"/>
      <c r="G10" s="1475"/>
      <c r="H10" s="1475"/>
      <c r="I10" s="1475"/>
      <c r="J10" s="1475"/>
      <c r="K10" s="1475"/>
      <c r="L10" s="1475"/>
      <c r="M10" s="1475"/>
      <c r="N10" s="1475"/>
      <c r="O10" s="1475"/>
      <c r="P10" s="780"/>
      <c r="Q10" s="780"/>
      <c r="R10" s="780"/>
      <c r="S10" s="780"/>
    </row>
    <row r="12" spans="1:19" ht="16.5" thickBot="1">
      <c r="A12" s="781"/>
      <c r="B12" s="781"/>
      <c r="C12" s="1476" t="s">
        <v>605</v>
      </c>
      <c r="D12" s="1476"/>
      <c r="E12" s="1476"/>
      <c r="F12" s="781"/>
      <c r="G12" s="1476" t="s">
        <v>606</v>
      </c>
      <c r="H12" s="1476"/>
      <c r="I12" s="1476"/>
      <c r="J12" s="781"/>
      <c r="K12" s="1476" t="s">
        <v>397</v>
      </c>
      <c r="L12" s="1476"/>
      <c r="M12" s="1476"/>
      <c r="N12" s="781"/>
      <c r="O12" s="1476" t="s">
        <v>607</v>
      </c>
      <c r="P12" s="1476"/>
      <c r="Q12" s="1476"/>
      <c r="R12" s="781"/>
      <c r="S12" s="782" t="s">
        <v>398</v>
      </c>
    </row>
    <row r="13" spans="1:19">
      <c r="A13" s="781"/>
      <c r="B13" s="781"/>
      <c r="C13" s="783" t="s">
        <v>122</v>
      </c>
      <c r="D13" s="784"/>
      <c r="E13" s="784"/>
      <c r="F13" s="784"/>
      <c r="G13" s="785" t="s">
        <v>123</v>
      </c>
      <c r="H13" s="786"/>
      <c r="I13" s="786"/>
      <c r="J13" s="786"/>
      <c r="K13" s="787" t="s">
        <v>124</v>
      </c>
      <c r="L13" s="786"/>
      <c r="M13" s="786"/>
      <c r="N13" s="786"/>
      <c r="O13" s="788" t="s">
        <v>125</v>
      </c>
      <c r="P13" s="786"/>
      <c r="Q13" s="786"/>
      <c r="R13" s="786"/>
      <c r="S13" s="786"/>
    </row>
    <row r="14" spans="1:19">
      <c r="A14" s="781"/>
      <c r="B14" s="781"/>
      <c r="C14" s="783" t="s">
        <v>115</v>
      </c>
      <c r="D14" s="784"/>
      <c r="E14" s="783" t="s">
        <v>399</v>
      </c>
      <c r="F14" s="784"/>
      <c r="G14" s="785" t="s">
        <v>608</v>
      </c>
      <c r="H14" s="784"/>
      <c r="I14" s="783" t="s">
        <v>399</v>
      </c>
      <c r="J14" s="784"/>
      <c r="L14" s="784"/>
      <c r="M14" s="783" t="s">
        <v>399</v>
      </c>
      <c r="N14" s="784"/>
      <c r="P14" s="784"/>
      <c r="Q14" s="783" t="s">
        <v>399</v>
      </c>
      <c r="R14" s="784"/>
      <c r="S14" s="783" t="s">
        <v>399</v>
      </c>
    </row>
    <row r="15" spans="1:19">
      <c r="A15" s="781"/>
      <c r="B15" s="783" t="s">
        <v>400</v>
      </c>
      <c r="C15" s="783" t="s">
        <v>609</v>
      </c>
      <c r="D15" s="783" t="s">
        <v>401</v>
      </c>
      <c r="E15" s="783" t="s">
        <v>402</v>
      </c>
      <c r="F15" s="784"/>
      <c r="G15" s="785" t="s">
        <v>403</v>
      </c>
      <c r="H15" s="783" t="s">
        <v>401</v>
      </c>
      <c r="I15" s="783" t="s">
        <v>402</v>
      </c>
      <c r="J15" s="784"/>
      <c r="K15" s="783" t="s">
        <v>80</v>
      </c>
      <c r="L15" s="783" t="s">
        <v>401</v>
      </c>
      <c r="M15" s="783" t="s">
        <v>402</v>
      </c>
      <c r="N15" s="784"/>
      <c r="O15" s="783" t="s">
        <v>80</v>
      </c>
      <c r="P15" s="783" t="s">
        <v>401</v>
      </c>
      <c r="Q15" s="783" t="s">
        <v>402</v>
      </c>
      <c r="R15" s="784"/>
      <c r="S15" s="783" t="s">
        <v>402</v>
      </c>
    </row>
    <row r="16" spans="1:19">
      <c r="A16" s="783"/>
      <c r="B16" s="783" t="s">
        <v>404</v>
      </c>
      <c r="C16" s="783" t="s">
        <v>405</v>
      </c>
      <c r="D16" s="783" t="s">
        <v>610</v>
      </c>
      <c r="E16" s="783" t="s">
        <v>406</v>
      </c>
      <c r="F16" s="784"/>
      <c r="G16" s="785" t="s">
        <v>405</v>
      </c>
      <c r="H16" s="783" t="s">
        <v>610</v>
      </c>
      <c r="I16" s="783" t="s">
        <v>406</v>
      </c>
      <c r="J16" s="784"/>
      <c r="K16" s="783" t="s">
        <v>405</v>
      </c>
      <c r="L16" s="783" t="s">
        <v>610</v>
      </c>
      <c r="M16" s="783" t="s">
        <v>406</v>
      </c>
      <c r="N16" s="784"/>
      <c r="O16" s="783" t="s">
        <v>405</v>
      </c>
      <c r="P16" s="783" t="s">
        <v>610</v>
      </c>
      <c r="Q16" s="783" t="s">
        <v>406</v>
      </c>
      <c r="R16" s="784"/>
      <c r="S16" s="783" t="s">
        <v>406</v>
      </c>
    </row>
    <row r="18" spans="1:19" ht="15.75" thickBot="1">
      <c r="A18" s="789"/>
      <c r="B18" s="781"/>
      <c r="C18" s="270"/>
      <c r="D18" s="781"/>
      <c r="E18" s="781"/>
      <c r="F18" s="781"/>
      <c r="G18" s="270"/>
      <c r="H18" s="781"/>
      <c r="I18" s="781"/>
      <c r="J18" s="781"/>
      <c r="K18" s="312"/>
      <c r="L18" s="781"/>
      <c r="M18" s="781"/>
      <c r="N18" s="781"/>
      <c r="O18" s="312"/>
      <c r="P18" s="781"/>
      <c r="Q18" s="781"/>
      <c r="R18" s="781"/>
      <c r="S18" s="781"/>
    </row>
    <row r="19" spans="1:19">
      <c r="A19" s="790" t="s">
        <v>407</v>
      </c>
      <c r="B19" s="791"/>
      <c r="C19" s="271"/>
      <c r="D19" s="272"/>
      <c r="E19" s="273"/>
      <c r="F19" s="791"/>
      <c r="G19" s="271"/>
      <c r="H19" s="274"/>
      <c r="I19" s="273"/>
      <c r="J19" s="791"/>
      <c r="K19" s="791"/>
      <c r="L19" s="274"/>
      <c r="M19" s="273"/>
      <c r="N19" s="791"/>
      <c r="O19" s="791"/>
      <c r="P19" s="272"/>
      <c r="Q19" s="273"/>
      <c r="R19" s="791"/>
      <c r="S19" s="273"/>
    </row>
    <row r="20" spans="1:19">
      <c r="A20" s="792" t="s">
        <v>611</v>
      </c>
      <c r="B20" s="275">
        <v>350.1</v>
      </c>
      <c r="C20" s="270">
        <v>6.5839999999999996E-3</v>
      </c>
      <c r="D20" s="313">
        <v>1</v>
      </c>
      <c r="E20" s="270">
        <f t="shared" ref="E20:E28" si="0">ROUND((C20*D20),4)</f>
        <v>6.6E-3</v>
      </c>
      <c r="F20" s="793"/>
      <c r="G20" s="270"/>
      <c r="H20" s="314"/>
      <c r="I20" s="276"/>
      <c r="J20" s="793"/>
      <c r="K20" s="270"/>
      <c r="L20" s="314"/>
      <c r="M20" s="315"/>
      <c r="N20" s="793"/>
      <c r="O20" s="270"/>
      <c r="P20" s="313"/>
      <c r="Q20" s="315"/>
      <c r="R20" s="793"/>
      <c r="S20" s="270">
        <f t="shared" ref="S20:S28" si="1">ROUND((((E20+I20)+M20)+Q20),4)</f>
        <v>6.6E-3</v>
      </c>
    </row>
    <row r="21" spans="1:19">
      <c r="A21" s="792" t="s">
        <v>612</v>
      </c>
      <c r="B21" s="275">
        <v>351</v>
      </c>
      <c r="C21" s="270"/>
      <c r="D21" s="313"/>
      <c r="E21" s="270"/>
      <c r="F21" s="793"/>
      <c r="G21" s="270">
        <v>6.6699999999999995E-2</v>
      </c>
      <c r="H21" s="314">
        <v>1</v>
      </c>
      <c r="I21" s="270">
        <f t="shared" ref="I21:I28" si="2">ROUND((G21*H21),4)</f>
        <v>6.6699999999999995E-2</v>
      </c>
      <c r="J21" s="793"/>
      <c r="K21" s="270"/>
      <c r="L21" s="314"/>
      <c r="M21" s="315"/>
      <c r="N21" s="793"/>
      <c r="O21" s="270"/>
      <c r="P21" s="313"/>
      <c r="Q21" s="315"/>
      <c r="R21" s="793"/>
      <c r="S21" s="270">
        <f>I21</f>
        <v>6.6699999999999995E-2</v>
      </c>
    </row>
    <row r="22" spans="1:19">
      <c r="A22" s="794" t="s">
        <v>408</v>
      </c>
      <c r="B22" s="275">
        <v>352</v>
      </c>
      <c r="C22" s="270">
        <v>1.55E-2</v>
      </c>
      <c r="D22" s="277">
        <v>0.493311</v>
      </c>
      <c r="E22" s="270">
        <f t="shared" si="0"/>
        <v>7.6E-3</v>
      </c>
      <c r="F22" s="793"/>
      <c r="G22" s="270">
        <v>1.52E-2</v>
      </c>
      <c r="H22" s="277">
        <v>0.41372700000000001</v>
      </c>
      <c r="I22" s="270">
        <f t="shared" si="2"/>
        <v>6.3E-3</v>
      </c>
      <c r="J22" s="793"/>
      <c r="K22" s="270">
        <v>2.1899999999999999E-2</v>
      </c>
      <c r="L22" s="277">
        <v>3.4447999999999999E-2</v>
      </c>
      <c r="M22" s="270">
        <f>ROUND((K22*L22),4)</f>
        <v>8.0000000000000004E-4</v>
      </c>
      <c r="N22" s="793"/>
      <c r="O22" s="270">
        <v>2.1899999999999999E-2</v>
      </c>
      <c r="P22" s="277">
        <v>5.8513999999999997E-2</v>
      </c>
      <c r="Q22" s="270">
        <f>ROUND((O22*P22),4)</f>
        <v>1.2999999999999999E-3</v>
      </c>
      <c r="R22" s="793"/>
      <c r="S22" s="270">
        <f t="shared" si="1"/>
        <v>1.6E-2</v>
      </c>
    </row>
    <row r="23" spans="1:19">
      <c r="A23" s="794" t="s">
        <v>409</v>
      </c>
      <c r="B23" s="275">
        <v>353</v>
      </c>
      <c r="C23" s="270">
        <v>1.95E-2</v>
      </c>
      <c r="D23" s="277">
        <v>0.493311</v>
      </c>
      <c r="E23" s="270">
        <f t="shared" si="0"/>
        <v>9.5999999999999992E-3</v>
      </c>
      <c r="F23" s="793"/>
      <c r="G23" s="270">
        <v>1.6799999999999999E-2</v>
      </c>
      <c r="H23" s="277">
        <v>0.41372700000000001</v>
      </c>
      <c r="I23" s="270">
        <f t="shared" si="2"/>
        <v>7.0000000000000001E-3</v>
      </c>
      <c r="J23" s="793"/>
      <c r="K23" s="270">
        <v>2.1899999999999999E-2</v>
      </c>
      <c r="L23" s="277">
        <v>3.4447999999999999E-2</v>
      </c>
      <c r="M23" s="270">
        <f t="shared" ref="M23:M28" si="3">ROUND((K23*L23),4)</f>
        <v>8.0000000000000004E-4</v>
      </c>
      <c r="N23" s="793"/>
      <c r="O23" s="270">
        <v>2.1899999999999999E-2</v>
      </c>
      <c r="P23" s="277">
        <v>5.8513999999999997E-2</v>
      </c>
      <c r="Q23" s="270">
        <f t="shared" ref="Q23:Q28" si="4">ROUND((O23*P23),4)</f>
        <v>1.2999999999999999E-3</v>
      </c>
      <c r="R23" s="793"/>
      <c r="S23" s="270">
        <f t="shared" si="1"/>
        <v>1.8700000000000001E-2</v>
      </c>
    </row>
    <row r="24" spans="1:19">
      <c r="A24" s="794" t="s">
        <v>410</v>
      </c>
      <c r="B24" s="275">
        <v>354</v>
      </c>
      <c r="C24" s="270">
        <v>1.14E-2</v>
      </c>
      <c r="D24" s="277">
        <v>0.493311</v>
      </c>
      <c r="E24" s="270">
        <f t="shared" si="0"/>
        <v>5.5999999999999999E-3</v>
      </c>
      <c r="F24" s="793"/>
      <c r="G24" s="270">
        <v>1.54E-2</v>
      </c>
      <c r="H24" s="277">
        <v>0.41372700000000001</v>
      </c>
      <c r="I24" s="270">
        <f t="shared" si="2"/>
        <v>6.4000000000000003E-3</v>
      </c>
      <c r="J24" s="793"/>
      <c r="K24" s="270">
        <v>2.1899999999999999E-2</v>
      </c>
      <c r="L24" s="277">
        <v>3.4447999999999999E-2</v>
      </c>
      <c r="M24" s="270">
        <f t="shared" si="3"/>
        <v>8.0000000000000004E-4</v>
      </c>
      <c r="N24" s="793"/>
      <c r="O24" s="270">
        <v>2.1899999999999999E-2</v>
      </c>
      <c r="P24" s="277">
        <v>5.8513999999999997E-2</v>
      </c>
      <c r="Q24" s="270">
        <f t="shared" si="4"/>
        <v>1.2999999999999999E-3</v>
      </c>
      <c r="R24" s="793"/>
      <c r="S24" s="270">
        <f t="shared" si="1"/>
        <v>1.41E-2</v>
      </c>
    </row>
    <row r="25" spans="1:19">
      <c r="A25" s="794" t="s">
        <v>411</v>
      </c>
      <c r="B25" s="275">
        <v>355</v>
      </c>
      <c r="C25" s="270">
        <v>2.7699999999999999E-2</v>
      </c>
      <c r="D25" s="277">
        <v>0.493311</v>
      </c>
      <c r="E25" s="270">
        <f t="shared" si="0"/>
        <v>1.37E-2</v>
      </c>
      <c r="F25" s="793"/>
      <c r="G25" s="270">
        <v>2.64E-2</v>
      </c>
      <c r="H25" s="277">
        <v>0.41372700000000001</v>
      </c>
      <c r="I25" s="270">
        <f t="shared" si="2"/>
        <v>1.09E-2</v>
      </c>
      <c r="J25" s="793"/>
      <c r="K25" s="270">
        <v>2.1899999999999999E-2</v>
      </c>
      <c r="L25" s="277">
        <v>3.4447999999999999E-2</v>
      </c>
      <c r="M25" s="270">
        <f t="shared" si="3"/>
        <v>8.0000000000000004E-4</v>
      </c>
      <c r="N25" s="793"/>
      <c r="O25" s="270">
        <v>2.1899999999999999E-2</v>
      </c>
      <c r="P25" s="277">
        <v>5.8513999999999997E-2</v>
      </c>
      <c r="Q25" s="270">
        <f t="shared" si="4"/>
        <v>1.2999999999999999E-3</v>
      </c>
      <c r="R25" s="793"/>
      <c r="S25" s="270">
        <f t="shared" si="1"/>
        <v>2.6700000000000002E-2</v>
      </c>
    </row>
    <row r="26" spans="1:19">
      <c r="A26" s="794" t="s">
        <v>613</v>
      </c>
      <c r="B26" s="275">
        <v>356</v>
      </c>
      <c r="C26" s="270">
        <v>1.01E-2</v>
      </c>
      <c r="D26" s="277">
        <v>0.493311</v>
      </c>
      <c r="E26" s="270">
        <f t="shared" si="0"/>
        <v>5.0000000000000001E-3</v>
      </c>
      <c r="F26" s="793"/>
      <c r="G26" s="270">
        <v>1.1900000000000001E-2</v>
      </c>
      <c r="H26" s="277">
        <v>0.41372700000000001</v>
      </c>
      <c r="I26" s="270">
        <f t="shared" si="2"/>
        <v>4.8999999999999998E-3</v>
      </c>
      <c r="J26" s="793"/>
      <c r="K26" s="270">
        <v>2.1899999999999999E-2</v>
      </c>
      <c r="L26" s="277">
        <v>3.4447999999999999E-2</v>
      </c>
      <c r="M26" s="270">
        <f t="shared" si="3"/>
        <v>8.0000000000000004E-4</v>
      </c>
      <c r="N26" s="793"/>
      <c r="O26" s="270">
        <v>2.1899999999999999E-2</v>
      </c>
      <c r="P26" s="277">
        <v>5.8513999999999997E-2</v>
      </c>
      <c r="Q26" s="270">
        <f t="shared" si="4"/>
        <v>1.2999999999999999E-3</v>
      </c>
      <c r="R26" s="793"/>
      <c r="S26" s="270">
        <f t="shared" si="1"/>
        <v>1.2E-2</v>
      </c>
    </row>
    <row r="27" spans="1:19">
      <c r="A27" s="794" t="s">
        <v>412</v>
      </c>
      <c r="B27" s="275">
        <v>357</v>
      </c>
      <c r="C27" s="270">
        <v>1.23E-2</v>
      </c>
      <c r="D27" s="277">
        <v>0.493311</v>
      </c>
      <c r="E27" s="270">
        <f t="shared" si="0"/>
        <v>6.1000000000000004E-3</v>
      </c>
      <c r="F27" s="793"/>
      <c r="G27" s="270">
        <v>1.4500000000000001E-2</v>
      </c>
      <c r="H27" s="277">
        <v>0.41372700000000001</v>
      </c>
      <c r="I27" s="270">
        <f t="shared" si="2"/>
        <v>6.0000000000000001E-3</v>
      </c>
      <c r="J27" s="793"/>
      <c r="K27" s="270">
        <v>2.1899999999999999E-2</v>
      </c>
      <c r="L27" s="277">
        <v>3.4447999999999999E-2</v>
      </c>
      <c r="M27" s="270">
        <f t="shared" si="3"/>
        <v>8.0000000000000004E-4</v>
      </c>
      <c r="N27" s="793"/>
      <c r="O27" s="270">
        <v>2.1899999999999999E-2</v>
      </c>
      <c r="P27" s="277">
        <v>5.8513999999999997E-2</v>
      </c>
      <c r="Q27" s="270">
        <f t="shared" si="4"/>
        <v>1.2999999999999999E-3</v>
      </c>
      <c r="R27" s="793"/>
      <c r="S27" s="270">
        <f t="shared" si="1"/>
        <v>1.4200000000000001E-2</v>
      </c>
    </row>
    <row r="28" spans="1:19">
      <c r="A28" s="794" t="s">
        <v>413</v>
      </c>
      <c r="B28" s="275">
        <v>358</v>
      </c>
      <c r="C28" s="270">
        <v>3.1800000000000002E-2</v>
      </c>
      <c r="D28" s="277">
        <v>0.493311</v>
      </c>
      <c r="E28" s="270">
        <f t="shared" si="0"/>
        <v>1.5699999999999999E-2</v>
      </c>
      <c r="F28" s="793"/>
      <c r="G28" s="270">
        <v>7.2300000000000003E-2</v>
      </c>
      <c r="H28" s="277">
        <v>0.41372700000000001</v>
      </c>
      <c r="I28" s="270">
        <f t="shared" si="2"/>
        <v>2.9899999999999999E-2</v>
      </c>
      <c r="J28" s="793"/>
      <c r="K28" s="312">
        <v>2.1899999999999999E-2</v>
      </c>
      <c r="L28" s="277">
        <v>3.4447999999999999E-2</v>
      </c>
      <c r="M28" s="270">
        <f t="shared" si="3"/>
        <v>8.0000000000000004E-4</v>
      </c>
      <c r="N28" s="793"/>
      <c r="O28" s="312">
        <v>2.1899999999999999E-2</v>
      </c>
      <c r="P28" s="277">
        <v>5.8513999999999997E-2</v>
      </c>
      <c r="Q28" s="270">
        <f t="shared" si="4"/>
        <v>1.2999999999999999E-3</v>
      </c>
      <c r="R28" s="793"/>
      <c r="S28" s="270">
        <f t="shared" si="1"/>
        <v>4.7699999999999999E-2</v>
      </c>
    </row>
    <row r="29" spans="1:19">
      <c r="A29" s="794"/>
      <c r="B29" s="793"/>
      <c r="C29" s="312"/>
      <c r="D29" s="313"/>
      <c r="E29" s="315"/>
      <c r="F29" s="793"/>
      <c r="G29" s="312"/>
      <c r="H29" s="313"/>
      <c r="I29" s="315"/>
      <c r="J29" s="793"/>
      <c r="K29" s="312"/>
      <c r="L29" s="313"/>
      <c r="M29" s="315"/>
      <c r="N29" s="793"/>
      <c r="O29" s="312"/>
      <c r="P29" s="313"/>
      <c r="Q29" s="270"/>
      <c r="R29" s="793"/>
      <c r="S29" s="270"/>
    </row>
    <row r="30" spans="1:19">
      <c r="B30" s="781"/>
      <c r="C30" s="270"/>
    </row>
    <row r="31" spans="1:19" ht="15.75">
      <c r="A31" s="779" t="s">
        <v>614</v>
      </c>
      <c r="B31" s="795"/>
      <c r="C31" s="278"/>
      <c r="D31" s="795"/>
      <c r="F31" s="796" t="s">
        <v>615</v>
      </c>
      <c r="G31" s="276" t="s">
        <v>616</v>
      </c>
      <c r="H31" s="781"/>
      <c r="L31" s="796"/>
    </row>
    <row r="32" spans="1:19" ht="15.75">
      <c r="A32" s="779" t="s">
        <v>617</v>
      </c>
      <c r="B32" s="795"/>
      <c r="C32" s="278"/>
      <c r="D32" s="795"/>
      <c r="E32" s="795"/>
      <c r="F32" s="797"/>
      <c r="H32" s="781"/>
    </row>
    <row r="33" spans="1:15" ht="15.75">
      <c r="B33" s="795"/>
      <c r="C33" s="278"/>
      <c r="D33" s="798"/>
      <c r="E33" s="798"/>
      <c r="F33" s="796" t="s">
        <v>618</v>
      </c>
      <c r="G33" s="276" t="s">
        <v>619</v>
      </c>
    </row>
    <row r="34" spans="1:15" ht="15.75">
      <c r="A34" s="779" t="s">
        <v>620</v>
      </c>
      <c r="B34" s="795"/>
      <c r="C34" s="278"/>
      <c r="D34" s="795"/>
      <c r="E34" s="795"/>
      <c r="F34" s="797"/>
      <c r="H34" s="781"/>
    </row>
    <row r="35" spans="1:15" ht="15.75">
      <c r="A35" s="779" t="s">
        <v>621</v>
      </c>
      <c r="B35" s="795"/>
      <c r="C35" s="278"/>
      <c r="D35" s="795"/>
      <c r="E35" s="795"/>
      <c r="F35" s="796" t="s">
        <v>622</v>
      </c>
      <c r="G35" s="1477" t="s">
        <v>623</v>
      </c>
      <c r="H35" s="1477"/>
      <c r="I35" s="1477"/>
      <c r="J35" s="1477"/>
      <c r="K35" s="1477"/>
      <c r="L35" s="1477"/>
    </row>
    <row r="36" spans="1:15" ht="15.75">
      <c r="B36" s="795"/>
      <c r="C36" s="278"/>
      <c r="D36" s="795"/>
      <c r="E36" s="795"/>
      <c r="F36" s="796"/>
      <c r="G36" s="1477" t="s">
        <v>624</v>
      </c>
      <c r="H36" s="1477"/>
      <c r="I36" s="1477"/>
      <c r="J36" s="1477"/>
      <c r="K36" s="1477"/>
      <c r="L36" s="1477"/>
    </row>
    <row r="37" spans="1:15" ht="15.75">
      <c r="B37" s="795"/>
      <c r="C37" s="278"/>
      <c r="D37" s="795"/>
      <c r="E37" s="795"/>
      <c r="F37" s="796"/>
      <c r="G37" s="1477" t="s">
        <v>625</v>
      </c>
      <c r="H37" s="1477"/>
      <c r="I37" s="1477"/>
      <c r="J37" s="1477"/>
      <c r="K37" s="1477"/>
      <c r="L37" s="1477"/>
    </row>
    <row r="38" spans="1:15" ht="15.75">
      <c r="A38" s="800"/>
      <c r="B38" s="781"/>
      <c r="C38" s="270"/>
      <c r="G38" s="1477" t="s">
        <v>115</v>
      </c>
      <c r="H38" s="1477"/>
      <c r="I38" s="1477"/>
      <c r="J38" s="1477"/>
      <c r="K38" s="1477"/>
      <c r="L38" s="1477"/>
    </row>
    <row r="39" spans="1:15" ht="15.75">
      <c r="A39" s="800"/>
      <c r="B39" s="781"/>
      <c r="C39" s="270"/>
      <c r="F39" s="796" t="s">
        <v>626</v>
      </c>
      <c r="G39" s="276" t="s">
        <v>627</v>
      </c>
      <c r="L39" s="799"/>
    </row>
    <row r="40" spans="1:15" ht="15.75">
      <c r="A40" s="800" t="s">
        <v>414</v>
      </c>
      <c r="B40" s="781"/>
      <c r="C40" s="270"/>
      <c r="G40" s="779"/>
      <c r="O40" s="801"/>
    </row>
    <row r="41" spans="1:15">
      <c r="A41" s="802" t="s">
        <v>29</v>
      </c>
      <c r="B41" s="803"/>
      <c r="C41" s="803"/>
      <c r="D41" s="804"/>
      <c r="O41" s="801"/>
    </row>
    <row r="42" spans="1:15">
      <c r="A42" s="1478" t="s">
        <v>628</v>
      </c>
      <c r="B42" s="1479"/>
      <c r="C42" s="1479"/>
      <c r="D42" s="1479"/>
      <c r="E42" s="1479"/>
      <c r="F42" s="1479"/>
      <c r="G42" s="1479"/>
      <c r="H42" s="1479"/>
      <c r="I42" s="1479"/>
      <c r="J42" s="1479"/>
      <c r="K42" s="1479"/>
      <c r="L42" s="1479"/>
      <c r="M42" s="1479"/>
      <c r="N42" s="1479"/>
    </row>
    <row r="43" spans="1:15">
      <c r="A43" s="1479"/>
      <c r="B43" s="1479"/>
      <c r="C43" s="1479"/>
      <c r="D43" s="1479"/>
      <c r="E43" s="1479"/>
      <c r="F43" s="1479"/>
      <c r="G43" s="1479"/>
      <c r="H43" s="1479"/>
      <c r="I43" s="1479"/>
      <c r="J43" s="1479"/>
      <c r="K43" s="1479"/>
      <c r="L43" s="1479"/>
      <c r="M43" s="1479"/>
      <c r="N43" s="1479"/>
    </row>
    <row r="44" spans="1:15">
      <c r="A44" s="1378" t="s">
        <v>842</v>
      </c>
      <c r="B44" s="1378"/>
      <c r="C44" s="1378"/>
      <c r="D44" s="1378"/>
      <c r="E44" s="1378"/>
      <c r="F44" s="1378"/>
      <c r="G44" s="1378"/>
      <c r="H44" s="1378"/>
      <c r="I44" s="1378"/>
      <c r="J44" s="1378"/>
      <c r="K44" s="1378"/>
      <c r="L44" s="1378"/>
      <c r="M44" s="1378"/>
      <c r="N44" s="1378"/>
    </row>
    <row r="45" spans="1:15">
      <c r="A45" s="1378"/>
      <c r="B45" s="1378"/>
      <c r="C45" s="1378"/>
      <c r="D45" s="1378"/>
      <c r="E45" s="1378"/>
      <c r="F45" s="1378"/>
      <c r="G45" s="1378"/>
      <c r="H45" s="1378"/>
      <c r="I45" s="1378"/>
      <c r="J45" s="1378"/>
      <c r="K45" s="1378"/>
      <c r="L45" s="1378"/>
      <c r="M45" s="1378"/>
      <c r="N45" s="1378"/>
    </row>
  </sheetData>
  <mergeCells count="18">
    <mergeCell ref="A44:N45"/>
    <mergeCell ref="G35:L35"/>
    <mergeCell ref="G36:L36"/>
    <mergeCell ref="G37:L37"/>
    <mergeCell ref="G38:L38"/>
    <mergeCell ref="A42:N43"/>
    <mergeCell ref="A8:O8"/>
    <mergeCell ref="A9:O9"/>
    <mergeCell ref="A10:O10"/>
    <mergeCell ref="C12:E12"/>
    <mergeCell ref="G12:I12"/>
    <mergeCell ref="K12:M12"/>
    <mergeCell ref="O12:Q12"/>
    <mergeCell ref="A3:O3"/>
    <mergeCell ref="A6:O6"/>
    <mergeCell ref="A7:O7"/>
    <mergeCell ref="A4:O4"/>
    <mergeCell ref="A5:O5"/>
  </mergeCells>
  <phoneticPr fontId="2" type="noConversion"/>
  <conditionalFormatting sqref="P10:S10 A3 A4:S9 A10">
    <cfRule type="cellIs" dxfId="10" priority="11" stopIfTrue="1" operator="lessThan">
      <formula>0</formula>
    </cfRule>
  </conditionalFormatting>
  <conditionalFormatting sqref="A46:S47 A41:N41 A40:E40 L40:N40 F39:K39">
    <cfRule type="cellIs" dxfId="9" priority="10" stopIfTrue="1" operator="lessThan">
      <formula>0</formula>
    </cfRule>
  </conditionalFormatting>
  <conditionalFormatting sqref="A42 A35:G35 A36:F38 M35:N39 A39:E39 A12:N34 O12:S45">
    <cfRule type="cellIs" dxfId="8" priority="8" stopIfTrue="1" operator="lessThan">
      <formula>0</formula>
    </cfRule>
  </conditionalFormatting>
  <conditionalFormatting sqref="G35">
    <cfRule type="colorScale" priority="7">
      <colorScale>
        <cfvo type="min"/>
        <cfvo type="percentile" val="50"/>
        <cfvo type="max"/>
        <color rgb="FF5A8AC6"/>
        <color rgb="FFFCFCFF"/>
        <color rgb="FFF8696B"/>
      </colorScale>
    </cfRule>
  </conditionalFormatting>
  <conditionalFormatting sqref="G36">
    <cfRule type="cellIs" dxfId="7" priority="6" stopIfTrue="1" operator="lessThan">
      <formula>0</formula>
    </cfRule>
  </conditionalFormatting>
  <conditionalFormatting sqref="G36">
    <cfRule type="colorScale" priority="5">
      <colorScale>
        <cfvo type="min"/>
        <cfvo type="percentile" val="50"/>
        <cfvo type="max"/>
        <color rgb="FF5A8AC6"/>
        <color rgb="FFFCFCFF"/>
        <color rgb="FFF8696B"/>
      </colorScale>
    </cfRule>
  </conditionalFormatting>
  <conditionalFormatting sqref="G37">
    <cfRule type="cellIs" dxfId="6" priority="4" stopIfTrue="1" operator="lessThan">
      <formula>0</formula>
    </cfRule>
  </conditionalFormatting>
  <conditionalFormatting sqref="G37">
    <cfRule type="colorScale" priority="3">
      <colorScale>
        <cfvo type="min"/>
        <cfvo type="percentile" val="50"/>
        <cfvo type="max"/>
        <color rgb="FF5A8AC6"/>
        <color rgb="FFFCFCFF"/>
        <color rgb="FFF8696B"/>
      </colorScale>
    </cfRule>
  </conditionalFormatting>
  <conditionalFormatting sqref="G38">
    <cfRule type="cellIs" dxfId="5" priority="2" stopIfTrue="1" operator="lessThan">
      <formula>0</formula>
    </cfRule>
  </conditionalFormatting>
  <conditionalFormatting sqref="G38">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BreakPreview" zoomScale="60" zoomScaleNormal="70" workbookViewId="0">
      <selection activeCell="N49" sqref="A49:N49"/>
    </sheetView>
  </sheetViews>
  <sheetFormatPr defaultRowHeight="12.75"/>
  <cols>
    <col min="1" max="1" width="31" style="1148" customWidth="1"/>
    <col min="2" max="2" width="9.140625" style="1148"/>
    <col min="3" max="3" width="11.85546875" style="1148" customWidth="1"/>
    <col min="4" max="4" width="18.28515625" style="1148" customWidth="1"/>
    <col min="5" max="5" width="12.5703125" style="1148" customWidth="1"/>
    <col min="6" max="6" width="9.140625" style="1148"/>
    <col min="7" max="7" width="12.140625" style="1148" customWidth="1"/>
    <col min="8" max="8" width="18.85546875" style="1148" customWidth="1"/>
    <col min="9" max="9" width="11" style="1148" customWidth="1"/>
    <col min="10" max="10" width="9.140625" style="1148"/>
    <col min="11" max="11" width="10.5703125" style="1148" customWidth="1"/>
    <col min="12" max="12" width="17.5703125" style="1148" customWidth="1"/>
    <col min="13" max="13" width="12.85546875" style="1148" customWidth="1"/>
    <col min="14" max="16384" width="9.140625" style="1148"/>
  </cols>
  <sheetData>
    <row r="1" spans="1:15" s="779" customFormat="1" ht="15.75">
      <c r="A1" s="899" t="s">
        <v>115</v>
      </c>
      <c r="G1" s="276"/>
    </row>
    <row r="2" spans="1:15" s="779" customFormat="1" ht="15.75">
      <c r="A2" s="899" t="s">
        <v>115</v>
      </c>
      <c r="G2" s="276"/>
    </row>
    <row r="3" spans="1:15" ht="19.5">
      <c r="A3" s="1482" t="s">
        <v>392</v>
      </c>
      <c r="B3" s="1482"/>
      <c r="C3" s="1482"/>
      <c r="D3" s="1482"/>
      <c r="E3" s="1482"/>
      <c r="F3" s="1482"/>
      <c r="G3" s="1482"/>
      <c r="H3" s="1482"/>
      <c r="I3" s="1482"/>
      <c r="J3" s="1482"/>
      <c r="K3" s="1482"/>
      <c r="L3" s="1482"/>
      <c r="M3" s="1482"/>
      <c r="N3" s="1482"/>
      <c r="O3" s="1482"/>
    </row>
    <row r="4" spans="1:15" ht="19.5">
      <c r="A4" s="1482" t="s">
        <v>393</v>
      </c>
      <c r="B4" s="1482"/>
      <c r="C4" s="1482"/>
      <c r="D4" s="1482"/>
      <c r="E4" s="1482"/>
      <c r="F4" s="1482"/>
      <c r="G4" s="1482"/>
      <c r="H4" s="1482"/>
      <c r="I4" s="1482"/>
      <c r="J4" s="1482"/>
      <c r="K4" s="1482"/>
      <c r="L4" s="1482"/>
      <c r="M4" s="1482"/>
      <c r="N4" s="1482"/>
      <c r="O4" s="1482"/>
    </row>
    <row r="5" spans="1:15" ht="19.5">
      <c r="A5" s="1482" t="s">
        <v>394</v>
      </c>
      <c r="B5" s="1482"/>
      <c r="C5" s="1482"/>
      <c r="D5" s="1482"/>
      <c r="E5" s="1482"/>
      <c r="F5" s="1482"/>
      <c r="G5" s="1482"/>
      <c r="H5" s="1482"/>
      <c r="I5" s="1482"/>
      <c r="J5" s="1482"/>
      <c r="K5" s="1482"/>
      <c r="L5" s="1482"/>
      <c r="M5" s="1482"/>
      <c r="N5" s="1482"/>
      <c r="O5" s="1482"/>
    </row>
    <row r="6" spans="1:15" ht="19.5">
      <c r="A6" s="1482" t="s">
        <v>395</v>
      </c>
      <c r="B6" s="1482"/>
      <c r="C6" s="1482"/>
      <c r="D6" s="1482"/>
      <c r="E6" s="1482"/>
      <c r="F6" s="1482"/>
      <c r="G6" s="1482"/>
      <c r="H6" s="1482"/>
      <c r="I6" s="1482"/>
      <c r="J6" s="1482"/>
      <c r="K6" s="1482"/>
      <c r="L6" s="1482"/>
      <c r="M6" s="1482"/>
      <c r="N6" s="1482"/>
      <c r="O6" s="1482"/>
    </row>
    <row r="7" spans="1:15" ht="19.5">
      <c r="A7" s="1482" t="s">
        <v>1008</v>
      </c>
      <c r="B7" s="1482"/>
      <c r="C7" s="1482"/>
      <c r="D7" s="1482"/>
      <c r="E7" s="1482"/>
      <c r="F7" s="1482"/>
      <c r="G7" s="1482"/>
      <c r="H7" s="1482"/>
      <c r="I7" s="1482"/>
      <c r="J7" s="1482"/>
      <c r="K7" s="1482"/>
      <c r="L7" s="1482"/>
      <c r="M7" s="1482"/>
      <c r="N7" s="1482"/>
      <c r="O7" s="1482"/>
    </row>
    <row r="8" spans="1:15" ht="19.5">
      <c r="A8" s="1482" t="s">
        <v>396</v>
      </c>
      <c r="B8" s="1482"/>
      <c r="C8" s="1482"/>
      <c r="D8" s="1482"/>
      <c r="E8" s="1482"/>
      <c r="F8" s="1482"/>
      <c r="G8" s="1482"/>
      <c r="H8" s="1482"/>
      <c r="I8" s="1482"/>
      <c r="J8" s="1482"/>
      <c r="K8" s="1482"/>
      <c r="L8" s="1482"/>
      <c r="M8" s="1482"/>
      <c r="N8" s="1482"/>
      <c r="O8" s="1482"/>
    </row>
    <row r="9" spans="1:15" ht="19.5">
      <c r="A9" s="1482" t="s">
        <v>781</v>
      </c>
      <c r="B9" s="1482"/>
      <c r="C9" s="1482"/>
      <c r="D9" s="1482"/>
      <c r="E9" s="1482"/>
      <c r="F9" s="1482"/>
      <c r="G9" s="1482"/>
      <c r="H9" s="1482"/>
      <c r="I9" s="1482"/>
      <c r="J9" s="1482"/>
      <c r="K9" s="1482"/>
      <c r="L9" s="1482"/>
      <c r="M9" s="1482"/>
      <c r="N9" s="1482"/>
      <c r="O9" s="1482"/>
    </row>
    <row r="10" spans="1:15" ht="19.5">
      <c r="A10" s="1483"/>
      <c r="B10" s="1483"/>
      <c r="C10" s="1483"/>
      <c r="D10" s="1483"/>
      <c r="E10" s="1483"/>
      <c r="F10" s="1483"/>
      <c r="G10" s="1483"/>
      <c r="H10" s="1483"/>
      <c r="I10" s="1483"/>
      <c r="J10" s="1483"/>
      <c r="K10" s="1483"/>
      <c r="L10" s="1483"/>
      <c r="M10" s="1483"/>
      <c r="N10" s="1483"/>
      <c r="O10" s="1483"/>
    </row>
    <row r="11" spans="1:15" ht="16.5" thickBot="1">
      <c r="A11" s="1149"/>
      <c r="B11" s="1149"/>
      <c r="C11" s="1484" t="s">
        <v>782</v>
      </c>
      <c r="D11" s="1484"/>
      <c r="E11" s="1484"/>
      <c r="F11" s="1149"/>
      <c r="G11" s="1484" t="s">
        <v>783</v>
      </c>
      <c r="H11" s="1484"/>
      <c r="I11" s="1484"/>
      <c r="J11" s="1149"/>
      <c r="K11" s="1484" t="s">
        <v>397</v>
      </c>
      <c r="L11" s="1484"/>
      <c r="M11" s="1484"/>
      <c r="N11" s="1149"/>
      <c r="O11" s="1150" t="s">
        <v>398</v>
      </c>
    </row>
    <row r="12" spans="1:15" ht="15.75">
      <c r="A12" s="1151"/>
      <c r="B12" s="1149"/>
      <c r="C12" s="1152" t="s">
        <v>122</v>
      </c>
      <c r="D12" s="1153"/>
      <c r="E12" s="1153"/>
      <c r="F12" s="1153"/>
      <c r="G12" s="1154" t="s">
        <v>123</v>
      </c>
      <c r="H12" s="1155"/>
      <c r="I12" s="1155"/>
      <c r="J12" s="1155"/>
      <c r="K12" s="1156">
        <v>-3</v>
      </c>
      <c r="L12" s="1155"/>
      <c r="M12" s="1155"/>
      <c r="N12" s="1155"/>
      <c r="O12" s="1155"/>
    </row>
    <row r="13" spans="1:15" ht="15">
      <c r="A13" s="1149"/>
      <c r="B13" s="1149"/>
      <c r="C13" s="1152" t="s">
        <v>115</v>
      </c>
      <c r="D13" s="1153"/>
      <c r="E13" s="1152" t="s">
        <v>399</v>
      </c>
      <c r="F13" s="1153"/>
      <c r="G13" s="1154" t="s">
        <v>784</v>
      </c>
      <c r="H13" s="1153"/>
      <c r="I13" s="1152" t="s">
        <v>399</v>
      </c>
      <c r="J13" s="1153"/>
      <c r="K13" s="1157"/>
      <c r="L13" s="1153"/>
      <c r="M13" s="1152" t="s">
        <v>399</v>
      </c>
      <c r="N13" s="1153"/>
      <c r="O13" s="1152" t="s">
        <v>399</v>
      </c>
    </row>
    <row r="14" spans="1:15" ht="15">
      <c r="A14" s="1149"/>
      <c r="B14" s="1152" t="s">
        <v>400</v>
      </c>
      <c r="C14" s="1152" t="s">
        <v>785</v>
      </c>
      <c r="D14" s="1152" t="s">
        <v>401</v>
      </c>
      <c r="E14" s="1152" t="s">
        <v>402</v>
      </c>
      <c r="F14" s="1153"/>
      <c r="G14" s="1154" t="s">
        <v>403</v>
      </c>
      <c r="H14" s="1152" t="s">
        <v>401</v>
      </c>
      <c r="I14" s="1152" t="s">
        <v>402</v>
      </c>
      <c r="J14" s="1153"/>
      <c r="K14" s="1152" t="s">
        <v>80</v>
      </c>
      <c r="L14" s="1152" t="s">
        <v>401</v>
      </c>
      <c r="M14" s="1152" t="s">
        <v>402</v>
      </c>
      <c r="N14" s="1153"/>
      <c r="O14" s="1152" t="s">
        <v>402</v>
      </c>
    </row>
    <row r="15" spans="1:15" ht="15">
      <c r="A15" s="1152"/>
      <c r="B15" s="1152" t="s">
        <v>404</v>
      </c>
      <c r="C15" s="1152" t="s">
        <v>405</v>
      </c>
      <c r="D15" s="1152" t="s">
        <v>786</v>
      </c>
      <c r="E15" s="1152" t="s">
        <v>406</v>
      </c>
      <c r="F15" s="1153"/>
      <c r="G15" s="1154" t="s">
        <v>405</v>
      </c>
      <c r="H15" s="1152" t="s">
        <v>786</v>
      </c>
      <c r="I15" s="1152" t="s">
        <v>406</v>
      </c>
      <c r="J15" s="1153"/>
      <c r="K15" s="1152" t="s">
        <v>405</v>
      </c>
      <c r="L15" s="1152" t="s">
        <v>786</v>
      </c>
      <c r="M15" s="1152" t="s">
        <v>406</v>
      </c>
      <c r="N15" s="1153"/>
      <c r="O15" s="1152" t="s">
        <v>406</v>
      </c>
    </row>
    <row r="16" spans="1:15" ht="15">
      <c r="A16" s="1157"/>
      <c r="B16" s="1157"/>
      <c r="C16" s="1157"/>
      <c r="D16" s="1157"/>
      <c r="E16" s="1157"/>
      <c r="F16" s="1157"/>
      <c r="G16" s="1158"/>
      <c r="H16" s="1157"/>
      <c r="I16" s="1157"/>
      <c r="J16" s="1157"/>
      <c r="K16" s="1157"/>
      <c r="L16" s="1157"/>
      <c r="M16" s="1157"/>
      <c r="N16" s="1157"/>
      <c r="O16" s="1157"/>
    </row>
    <row r="17" spans="1:15" ht="15.75" thickBot="1">
      <c r="A17" s="1159"/>
      <c r="B17" s="1149"/>
      <c r="C17" s="270"/>
      <c r="D17" s="1149"/>
      <c r="E17" s="1149"/>
      <c r="F17" s="1149"/>
      <c r="G17" s="1160"/>
      <c r="H17" s="1149"/>
      <c r="I17" s="1149"/>
      <c r="J17" s="1149"/>
      <c r="K17" s="1160"/>
      <c r="L17" s="1149"/>
      <c r="M17" s="1149"/>
      <c r="N17" s="1149"/>
      <c r="O17" s="1149"/>
    </row>
    <row r="18" spans="1:15" ht="15">
      <c r="A18" s="1161" t="s">
        <v>407</v>
      </c>
      <c r="B18" s="1162"/>
      <c r="C18" s="271"/>
      <c r="D18" s="272"/>
      <c r="E18" s="273"/>
      <c r="F18" s="1162"/>
      <c r="G18" s="273"/>
      <c r="H18" s="274"/>
      <c r="I18" s="273"/>
      <c r="J18" s="1162"/>
      <c r="K18" s="273"/>
      <c r="L18" s="274"/>
      <c r="M18" s="273"/>
      <c r="N18" s="1162"/>
      <c r="O18" s="273"/>
    </row>
    <row r="19" spans="1:15" ht="15">
      <c r="A19" s="1157" t="s">
        <v>787</v>
      </c>
      <c r="B19" s="275">
        <v>350.1</v>
      </c>
      <c r="C19" s="276">
        <v>1.4800000000000001E-2</v>
      </c>
      <c r="D19" s="277">
        <v>0.65210299999999999</v>
      </c>
      <c r="E19" s="276">
        <f t="shared" ref="E19:E27" si="0">ROUND((C19*D19),6)</f>
        <v>9.6509999999999999E-3</v>
      </c>
      <c r="F19" s="1163"/>
      <c r="G19" s="276">
        <v>1.44E-2</v>
      </c>
      <c r="H19" s="277">
        <v>0.144206</v>
      </c>
      <c r="I19" s="276">
        <f t="shared" ref="I19:I27" si="1">ROUND((G19*H19),6)</f>
        <v>2.0769999999999999E-3</v>
      </c>
      <c r="J19" s="1163"/>
      <c r="K19" s="276">
        <v>1.44E-2</v>
      </c>
      <c r="L19" s="277">
        <v>0.20369100000000001</v>
      </c>
      <c r="M19" s="276">
        <f>ROUND((K19*L19),6)</f>
        <v>2.9329999999999998E-3</v>
      </c>
      <c r="N19" s="1163"/>
      <c r="O19" s="270">
        <f t="shared" ref="O19:O27" si="2">ROUND(E19+I19+M19,4)</f>
        <v>1.47E-2</v>
      </c>
    </row>
    <row r="20" spans="1:15" ht="15">
      <c r="A20" s="1164" t="s">
        <v>408</v>
      </c>
      <c r="B20" s="275">
        <v>352</v>
      </c>
      <c r="C20" s="276">
        <v>1.55E-2</v>
      </c>
      <c r="D20" s="277">
        <v>0.65210299999999999</v>
      </c>
      <c r="E20" s="276">
        <f t="shared" si="0"/>
        <v>1.0108000000000001E-2</v>
      </c>
      <c r="F20" s="1163"/>
      <c r="G20" s="276">
        <v>1.4999999999999999E-2</v>
      </c>
      <c r="H20" s="277">
        <v>0.144206</v>
      </c>
      <c r="I20" s="276">
        <f t="shared" si="1"/>
        <v>2.163E-3</v>
      </c>
      <c r="J20" s="1163"/>
      <c r="K20" s="276">
        <v>1.4999999999999999E-2</v>
      </c>
      <c r="L20" s="277">
        <v>0.20369100000000001</v>
      </c>
      <c r="M20" s="276">
        <f t="shared" ref="M20:M27" si="3">ROUND((K20*L20),6)</f>
        <v>3.055E-3</v>
      </c>
      <c r="N20" s="1163"/>
      <c r="O20" s="270">
        <f t="shared" si="2"/>
        <v>1.5299999999999999E-2</v>
      </c>
    </row>
    <row r="21" spans="1:15" ht="15">
      <c r="A21" s="1164" t="s">
        <v>409</v>
      </c>
      <c r="B21" s="275">
        <v>353</v>
      </c>
      <c r="C21" s="276">
        <v>1.8599999999999998E-2</v>
      </c>
      <c r="D21" s="277">
        <v>0.65210299999999999</v>
      </c>
      <c r="E21" s="276">
        <f t="shared" si="0"/>
        <v>1.2128999999999999E-2</v>
      </c>
      <c r="F21" s="1163"/>
      <c r="G21" s="276">
        <v>1.84E-2</v>
      </c>
      <c r="H21" s="277">
        <v>0.144206</v>
      </c>
      <c r="I21" s="276">
        <f t="shared" si="1"/>
        <v>2.653E-3</v>
      </c>
      <c r="J21" s="1163"/>
      <c r="K21" s="276">
        <v>1.84E-2</v>
      </c>
      <c r="L21" s="277">
        <v>0.20369100000000001</v>
      </c>
      <c r="M21" s="276">
        <f t="shared" si="3"/>
        <v>3.748E-3</v>
      </c>
      <c r="N21" s="1163"/>
      <c r="O21" s="270">
        <f t="shared" si="2"/>
        <v>1.8499999999999999E-2</v>
      </c>
    </row>
    <row r="22" spans="1:15" ht="15">
      <c r="A22" s="1164" t="s">
        <v>410</v>
      </c>
      <c r="B22" s="275">
        <v>354</v>
      </c>
      <c r="C22" s="276">
        <v>1.6899999999999998E-2</v>
      </c>
      <c r="D22" s="277">
        <v>0.65210299999999999</v>
      </c>
      <c r="E22" s="276">
        <f t="shared" si="0"/>
        <v>1.1021E-2</v>
      </c>
      <c r="F22" s="1163"/>
      <c r="G22" s="276">
        <v>1.5699999999999999E-2</v>
      </c>
      <c r="H22" s="277">
        <v>0.144206</v>
      </c>
      <c r="I22" s="276">
        <f t="shared" si="1"/>
        <v>2.264E-3</v>
      </c>
      <c r="J22" s="1163"/>
      <c r="K22" s="276">
        <v>1.5699999999999999E-2</v>
      </c>
      <c r="L22" s="277">
        <v>0.20369100000000001</v>
      </c>
      <c r="M22" s="276">
        <f t="shared" si="3"/>
        <v>3.1979999999999999E-3</v>
      </c>
      <c r="N22" s="1163"/>
      <c r="O22" s="270">
        <f t="shared" si="2"/>
        <v>1.6500000000000001E-2</v>
      </c>
    </row>
    <row r="23" spans="1:15" ht="15">
      <c r="A23" s="1164" t="s">
        <v>411</v>
      </c>
      <c r="B23" s="275">
        <v>355</v>
      </c>
      <c r="C23" s="276">
        <v>2.8500000000000001E-2</v>
      </c>
      <c r="D23" s="277">
        <v>0.65210299999999999</v>
      </c>
      <c r="E23" s="276">
        <f t="shared" si="0"/>
        <v>1.8585000000000001E-2</v>
      </c>
      <c r="F23" s="1163"/>
      <c r="G23" s="276">
        <v>2.8299999999999999E-2</v>
      </c>
      <c r="H23" s="277">
        <v>0.144206</v>
      </c>
      <c r="I23" s="276">
        <f t="shared" si="1"/>
        <v>4.0810000000000004E-3</v>
      </c>
      <c r="J23" s="1163"/>
      <c r="K23" s="276">
        <v>2.8299999999999999E-2</v>
      </c>
      <c r="L23" s="277">
        <v>0.20369100000000001</v>
      </c>
      <c r="M23" s="276">
        <f t="shared" si="3"/>
        <v>5.764E-3</v>
      </c>
      <c r="N23" s="1163"/>
      <c r="O23" s="270">
        <f t="shared" si="2"/>
        <v>2.8400000000000002E-2</v>
      </c>
    </row>
    <row r="24" spans="1:15" ht="15">
      <c r="A24" s="1164" t="s">
        <v>788</v>
      </c>
      <c r="B24" s="275">
        <v>356</v>
      </c>
      <c r="C24" s="276">
        <v>1.9699999999999999E-2</v>
      </c>
      <c r="D24" s="277">
        <v>0.65210299999999999</v>
      </c>
      <c r="E24" s="276">
        <f t="shared" si="0"/>
        <v>1.2846E-2</v>
      </c>
      <c r="F24" s="1163"/>
      <c r="G24" s="276">
        <v>1.89E-2</v>
      </c>
      <c r="H24" s="277">
        <v>0.144206</v>
      </c>
      <c r="I24" s="276">
        <f t="shared" si="1"/>
        <v>2.725E-3</v>
      </c>
      <c r="J24" s="1163"/>
      <c r="K24" s="276">
        <v>1.89E-2</v>
      </c>
      <c r="L24" s="277">
        <v>0.20369100000000001</v>
      </c>
      <c r="M24" s="276">
        <f t="shared" si="3"/>
        <v>3.8500000000000001E-3</v>
      </c>
      <c r="N24" s="1163"/>
      <c r="O24" s="270">
        <f t="shared" si="2"/>
        <v>1.9400000000000001E-2</v>
      </c>
    </row>
    <row r="25" spans="1:15" ht="15">
      <c r="A25" s="1164" t="s">
        <v>412</v>
      </c>
      <c r="B25" s="275">
        <v>357</v>
      </c>
      <c r="C25" s="276">
        <v>1.8599999999999998E-2</v>
      </c>
      <c r="D25" s="277">
        <v>0.65210299999999999</v>
      </c>
      <c r="E25" s="276">
        <f t="shared" si="0"/>
        <v>1.2128999999999999E-2</v>
      </c>
      <c r="F25" s="1163"/>
      <c r="G25" s="276">
        <v>1.77E-2</v>
      </c>
      <c r="H25" s="277">
        <v>0.144206</v>
      </c>
      <c r="I25" s="276">
        <f t="shared" si="1"/>
        <v>2.552E-3</v>
      </c>
      <c r="J25" s="1163"/>
      <c r="K25" s="276">
        <v>1.77E-2</v>
      </c>
      <c r="L25" s="277">
        <v>0.20369100000000001</v>
      </c>
      <c r="M25" s="276">
        <f t="shared" si="3"/>
        <v>3.6050000000000001E-3</v>
      </c>
      <c r="N25" s="1163"/>
      <c r="O25" s="270">
        <f t="shared" si="2"/>
        <v>1.83E-2</v>
      </c>
    </row>
    <row r="26" spans="1:15" ht="15">
      <c r="A26" s="1164" t="s">
        <v>413</v>
      </c>
      <c r="B26" s="275">
        <v>358</v>
      </c>
      <c r="C26" s="276">
        <v>1.7000000000000001E-2</v>
      </c>
      <c r="D26" s="277">
        <v>0.65210299999999999</v>
      </c>
      <c r="E26" s="276">
        <f t="shared" si="0"/>
        <v>1.1086E-2</v>
      </c>
      <c r="F26" s="1163"/>
      <c r="G26" s="276">
        <v>1.66E-2</v>
      </c>
      <c r="H26" s="277">
        <v>0.144206</v>
      </c>
      <c r="I26" s="276">
        <f t="shared" si="1"/>
        <v>2.3939999999999999E-3</v>
      </c>
      <c r="J26" s="1163"/>
      <c r="K26" s="276">
        <v>1.66E-2</v>
      </c>
      <c r="L26" s="277">
        <v>0.20369100000000001</v>
      </c>
      <c r="M26" s="276">
        <f t="shared" si="3"/>
        <v>3.3809999999999999E-3</v>
      </c>
      <c r="N26" s="1163"/>
      <c r="O26" s="270">
        <f t="shared" si="2"/>
        <v>1.6899999999999998E-2</v>
      </c>
    </row>
    <row r="27" spans="1:15" ht="15">
      <c r="A27" s="1164" t="s">
        <v>789</v>
      </c>
      <c r="B27" s="275">
        <v>359</v>
      </c>
      <c r="C27" s="276">
        <v>1.4999999999999999E-2</v>
      </c>
      <c r="D27" s="277">
        <v>0.65210299999999999</v>
      </c>
      <c r="E27" s="276">
        <f t="shared" si="0"/>
        <v>9.7820000000000008E-3</v>
      </c>
      <c r="F27" s="1163"/>
      <c r="G27" s="276">
        <v>1.4800000000000001E-2</v>
      </c>
      <c r="H27" s="277">
        <v>0.144206</v>
      </c>
      <c r="I27" s="276">
        <f t="shared" si="1"/>
        <v>2.134E-3</v>
      </c>
      <c r="J27" s="1163"/>
      <c r="K27" s="276">
        <v>1.4800000000000001E-2</v>
      </c>
      <c r="L27" s="277">
        <v>0.20369100000000001</v>
      </c>
      <c r="M27" s="276">
        <f t="shared" si="3"/>
        <v>3.0149999999999999E-3</v>
      </c>
      <c r="N27" s="1163"/>
      <c r="O27" s="270">
        <f t="shared" si="2"/>
        <v>1.49E-2</v>
      </c>
    </row>
    <row r="28" spans="1:15" ht="15">
      <c r="A28" s="1157"/>
      <c r="B28" s="1157"/>
      <c r="C28" s="1157"/>
      <c r="D28" s="1157"/>
      <c r="E28" s="1157"/>
      <c r="F28" s="1157"/>
      <c r="G28" s="1157"/>
      <c r="H28" s="1157"/>
      <c r="I28" s="1157"/>
      <c r="J28" s="1157"/>
      <c r="K28" s="1157"/>
      <c r="L28" s="1157"/>
      <c r="M28" s="1157"/>
      <c r="N28" s="1157"/>
      <c r="O28" s="1157"/>
    </row>
    <row r="29" spans="1:15" ht="15">
      <c r="A29" s="1157"/>
      <c r="B29" s="1157"/>
      <c r="C29" s="1157"/>
      <c r="D29" s="1157"/>
      <c r="E29" s="1157"/>
      <c r="F29" s="1157"/>
      <c r="G29" s="1157"/>
      <c r="H29" s="1157"/>
      <c r="I29" s="1157"/>
      <c r="J29" s="1157"/>
      <c r="K29" s="1157"/>
      <c r="L29" s="1157"/>
      <c r="M29" s="1157"/>
      <c r="N29" s="1157"/>
      <c r="O29" s="1157"/>
    </row>
    <row r="30" spans="1:15" ht="15">
      <c r="A30" s="1157"/>
      <c r="B30" s="1149"/>
      <c r="C30" s="270"/>
      <c r="D30" s="1157"/>
      <c r="E30" s="1157"/>
      <c r="F30" s="1157"/>
      <c r="G30" s="1158"/>
      <c r="H30" s="1157"/>
      <c r="I30" s="1157"/>
      <c r="J30" s="1157"/>
      <c r="K30" s="1157"/>
      <c r="L30" s="1157"/>
      <c r="M30" s="1157"/>
      <c r="N30" s="1157"/>
      <c r="O30" s="1157"/>
    </row>
    <row r="31" spans="1:15" ht="15.75">
      <c r="A31" s="1151" t="s">
        <v>1009</v>
      </c>
      <c r="B31" s="1165"/>
      <c r="C31" s="278"/>
      <c r="D31" s="1165"/>
      <c r="E31" s="1157"/>
      <c r="F31" s="1165"/>
      <c r="G31" s="1157"/>
      <c r="H31" s="1149"/>
      <c r="I31" s="1157"/>
      <c r="J31" s="1157"/>
      <c r="K31" s="1157"/>
      <c r="L31" s="1157"/>
      <c r="M31" s="1157"/>
      <c r="N31" s="1157"/>
      <c r="O31" s="1157"/>
    </row>
    <row r="32" spans="1:15" ht="15.75">
      <c r="A32" s="1151" t="s">
        <v>1010</v>
      </c>
      <c r="B32" s="1165"/>
      <c r="C32" s="278"/>
      <c r="D32" s="1165"/>
      <c r="E32" s="1165"/>
      <c r="F32" s="1165"/>
      <c r="G32" s="1157"/>
      <c r="H32" s="1149"/>
      <c r="I32" s="1157"/>
      <c r="J32" s="1157"/>
      <c r="K32" s="1157"/>
      <c r="L32" s="1157"/>
      <c r="M32" s="1157"/>
      <c r="N32" s="1157"/>
      <c r="O32" s="1157"/>
    </row>
    <row r="33" spans="1:15" ht="15.75">
      <c r="A33" s="1151" t="s">
        <v>790</v>
      </c>
      <c r="B33" s="1165"/>
      <c r="C33" s="278"/>
      <c r="D33" s="1166"/>
      <c r="E33" s="1166"/>
      <c r="F33" s="1166"/>
      <c r="G33" s="1157"/>
      <c r="H33" s="1157"/>
      <c r="I33" s="1157"/>
      <c r="J33" s="1157"/>
      <c r="K33" s="1157"/>
      <c r="L33" s="1157"/>
      <c r="M33" s="1157"/>
      <c r="N33" s="1157"/>
      <c r="O33" s="1157"/>
    </row>
    <row r="34" spans="1:15" ht="15">
      <c r="A34" s="1485" t="s">
        <v>791</v>
      </c>
      <c r="B34" s="1486"/>
      <c r="C34" s="1486"/>
      <c r="D34" s="1486"/>
      <c r="E34" s="1486"/>
      <c r="F34" s="1486"/>
      <c r="G34" s="1486"/>
      <c r="H34" s="1486"/>
      <c r="I34" s="1486"/>
      <c r="J34" s="1486"/>
      <c r="K34" s="1486"/>
      <c r="L34" s="1486"/>
      <c r="M34" s="1157"/>
      <c r="N34" s="1157"/>
      <c r="O34" s="1157"/>
    </row>
    <row r="35" spans="1:15" ht="15">
      <c r="A35" s="1486"/>
      <c r="B35" s="1486"/>
      <c r="C35" s="1486"/>
      <c r="D35" s="1486"/>
      <c r="E35" s="1486"/>
      <c r="F35" s="1486"/>
      <c r="G35" s="1486"/>
      <c r="H35" s="1486"/>
      <c r="I35" s="1486"/>
      <c r="J35" s="1486"/>
      <c r="K35" s="1486"/>
      <c r="L35" s="1486"/>
      <c r="M35" s="1157"/>
      <c r="N35" s="1157"/>
      <c r="O35" s="1157"/>
    </row>
    <row r="36" spans="1:15" ht="15">
      <c r="A36" s="1486"/>
      <c r="B36" s="1486"/>
      <c r="C36" s="1486"/>
      <c r="D36" s="1486"/>
      <c r="E36" s="1486"/>
      <c r="F36" s="1486"/>
      <c r="G36" s="1486"/>
      <c r="H36" s="1486"/>
      <c r="I36" s="1486"/>
      <c r="J36" s="1486"/>
      <c r="K36" s="1486"/>
      <c r="L36" s="1486"/>
      <c r="M36" s="1157"/>
      <c r="N36" s="1157"/>
      <c r="O36" s="1157"/>
    </row>
    <row r="37" spans="1:15" ht="15.75">
      <c r="A37" s="1157"/>
      <c r="B37" s="1165"/>
      <c r="C37" s="278"/>
      <c r="D37" s="1166"/>
      <c r="E37" s="1166"/>
      <c r="F37" s="1166"/>
      <c r="G37" s="1158"/>
      <c r="H37" s="1157"/>
      <c r="I37" s="1157"/>
      <c r="J37" s="1157"/>
      <c r="K37" s="1157"/>
      <c r="L37" s="1157"/>
      <c r="M37" s="1157"/>
      <c r="N37" s="1157"/>
      <c r="O37" s="1157"/>
    </row>
    <row r="38" spans="1:15" ht="15.75">
      <c r="A38" s="1167" t="s">
        <v>414</v>
      </c>
      <c r="B38" s="1149"/>
      <c r="C38" s="270"/>
      <c r="D38" s="1157"/>
      <c r="E38" s="1157"/>
      <c r="F38" s="1157"/>
      <c r="G38" s="1158"/>
      <c r="H38" s="1157"/>
      <c r="I38" s="1157"/>
      <c r="J38" s="1157"/>
      <c r="K38" s="1157"/>
      <c r="L38" s="1157"/>
      <c r="M38" s="1157"/>
      <c r="N38" s="1157"/>
      <c r="O38" s="1157"/>
    </row>
    <row r="39" spans="1:15" ht="15">
      <c r="A39" s="1168" t="s">
        <v>29</v>
      </c>
      <c r="B39" s="1169"/>
      <c r="C39" s="1169"/>
      <c r="D39" s="1170"/>
      <c r="E39" s="1157"/>
      <c r="F39" s="1157"/>
      <c r="G39" s="1158"/>
      <c r="H39" s="1157"/>
      <c r="I39" s="1157"/>
      <c r="J39" s="1157"/>
      <c r="K39" s="1157"/>
      <c r="L39" s="1157"/>
      <c r="M39" s="1157"/>
      <c r="N39" s="1157"/>
      <c r="O39" s="1157"/>
    </row>
    <row r="40" spans="1:15" ht="15">
      <c r="A40" s="1480" t="s">
        <v>792</v>
      </c>
      <c r="B40" s="1480"/>
      <c r="C40" s="1480"/>
      <c r="D40" s="1480"/>
      <c r="E40" s="1480"/>
      <c r="F40" s="1480"/>
      <c r="G40" s="1480"/>
      <c r="H40" s="1480"/>
      <c r="I40" s="1480"/>
      <c r="J40" s="1480"/>
      <c r="K40" s="1480"/>
      <c r="L40" s="1480"/>
      <c r="M40" s="1480"/>
      <c r="N40" s="1480"/>
      <c r="O40" s="1157"/>
    </row>
    <row r="41" spans="1:15" ht="15">
      <c r="A41" s="1480"/>
      <c r="B41" s="1480"/>
      <c r="C41" s="1480"/>
      <c r="D41" s="1480"/>
      <c r="E41" s="1480"/>
      <c r="F41" s="1480"/>
      <c r="G41" s="1480"/>
      <c r="H41" s="1480"/>
      <c r="I41" s="1480"/>
      <c r="J41" s="1480"/>
      <c r="K41" s="1480"/>
      <c r="L41" s="1480"/>
      <c r="M41" s="1480"/>
      <c r="N41" s="1480"/>
      <c r="O41" s="1157"/>
    </row>
    <row r="42" spans="1:15" ht="15">
      <c r="A42" s="1481" t="s">
        <v>842</v>
      </c>
      <c r="B42" s="1481"/>
      <c r="C42" s="1481"/>
      <c r="D42" s="1481"/>
      <c r="E42" s="1481"/>
      <c r="F42" s="1481"/>
      <c r="G42" s="1481"/>
      <c r="H42" s="1481"/>
      <c r="I42" s="1481"/>
      <c r="J42" s="1481"/>
      <c r="K42" s="1481"/>
      <c r="L42" s="1481"/>
      <c r="M42" s="1481"/>
      <c r="N42" s="1481"/>
      <c r="O42" s="1157"/>
    </row>
    <row r="43" spans="1:15" ht="15">
      <c r="A43" s="1481"/>
      <c r="B43" s="1481"/>
      <c r="C43" s="1481"/>
      <c r="D43" s="1481"/>
      <c r="E43" s="1481"/>
      <c r="F43" s="1481"/>
      <c r="G43" s="1481"/>
      <c r="H43" s="1481"/>
      <c r="I43" s="1481"/>
      <c r="J43" s="1481"/>
      <c r="K43" s="1481"/>
      <c r="L43" s="1481"/>
      <c r="M43" s="1481"/>
      <c r="N43" s="1481"/>
      <c r="O43" s="1157"/>
    </row>
    <row r="44" spans="1:15" ht="15">
      <c r="A44" s="1157"/>
      <c r="B44" s="1157"/>
      <c r="C44" s="1157"/>
      <c r="D44" s="1157"/>
      <c r="E44" s="1157"/>
      <c r="F44" s="1157"/>
      <c r="G44" s="1158"/>
      <c r="H44" s="1157"/>
      <c r="I44" s="1157"/>
      <c r="J44" s="1157"/>
      <c r="K44" s="1157"/>
      <c r="L44" s="1157"/>
      <c r="M44" s="1157"/>
      <c r="N44" s="1157"/>
      <c r="O44" s="1157"/>
    </row>
    <row r="45" spans="1:15" ht="15">
      <c r="A45" s="1157"/>
      <c r="B45" s="1157"/>
      <c r="C45" s="1157"/>
      <c r="D45" s="1157"/>
      <c r="E45" s="1157"/>
      <c r="F45" s="1157"/>
      <c r="G45" s="1158"/>
      <c r="H45" s="1157"/>
      <c r="I45" s="1157"/>
      <c r="J45" s="1157"/>
      <c r="K45" s="1157"/>
      <c r="L45" s="1157"/>
      <c r="M45" s="1157"/>
      <c r="N45" s="1157"/>
      <c r="O45" s="1157"/>
    </row>
    <row r="46" spans="1:15" ht="15">
      <c r="A46" s="1157"/>
      <c r="B46" s="1157"/>
      <c r="C46" s="1157"/>
      <c r="D46" s="1157"/>
      <c r="E46" s="1157"/>
      <c r="F46" s="1157"/>
      <c r="G46" s="1158"/>
      <c r="H46" s="1157"/>
      <c r="I46" s="1157"/>
      <c r="J46" s="1157"/>
      <c r="K46" s="1157"/>
      <c r="L46" s="1157"/>
      <c r="M46" s="1157"/>
      <c r="N46" s="1157"/>
      <c r="O46" s="1157"/>
    </row>
  </sheetData>
  <mergeCells count="14">
    <mergeCell ref="A8:O8"/>
    <mergeCell ref="A3:O3"/>
    <mergeCell ref="A4:O4"/>
    <mergeCell ref="A5:O5"/>
    <mergeCell ref="A6:O6"/>
    <mergeCell ref="A7:O7"/>
    <mergeCell ref="A40:N41"/>
    <mergeCell ref="A42:N43"/>
    <mergeCell ref="A9:O9"/>
    <mergeCell ref="A10:O10"/>
    <mergeCell ref="C11:E11"/>
    <mergeCell ref="G11:I11"/>
    <mergeCell ref="K11:M11"/>
    <mergeCell ref="A34:L36"/>
  </mergeCells>
  <conditionalFormatting sqref="A3 A4:O9 A10 A38:N39 A40">
    <cfRule type="cellIs" dxfId="4" priority="1" stopIfTrue="1" operator="lessThan">
      <formula>0</formula>
    </cfRule>
  </conditionalFormatting>
  <pageMargins left="0.7" right="0.7" top="0.75" bottom="0.75" header="0.3" footer="0.3"/>
  <pageSetup scale="4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I44" sqref="A30:I44"/>
    </sheetView>
  </sheetViews>
  <sheetFormatPr defaultRowHeight="12.75"/>
  <cols>
    <col min="1" max="1" width="33.5703125" style="1148" customWidth="1"/>
    <col min="2" max="2" width="17.140625" style="1148" customWidth="1"/>
    <col min="3" max="3" width="23.42578125" style="1148" customWidth="1"/>
    <col min="4" max="4" width="9.140625" style="1148"/>
    <col min="5" max="5" width="21.85546875" style="1148" customWidth="1"/>
    <col min="6" max="16384" width="9.140625" style="1148"/>
  </cols>
  <sheetData>
    <row r="1" spans="1:7" s="779" customFormat="1" ht="15.75">
      <c r="A1" s="899" t="s">
        <v>115</v>
      </c>
      <c r="G1" s="276"/>
    </row>
    <row r="2" spans="1:7" s="779" customFormat="1" ht="15.75">
      <c r="A2" s="899" t="s">
        <v>115</v>
      </c>
      <c r="G2" s="276"/>
    </row>
    <row r="3" spans="1:7" ht="19.5">
      <c r="A3" s="1157"/>
      <c r="B3" s="1488" t="s">
        <v>392</v>
      </c>
      <c r="C3" s="1488"/>
      <c r="D3" s="1488"/>
      <c r="E3" s="1488"/>
    </row>
    <row r="4" spans="1:7" ht="19.5">
      <c r="A4" s="1157"/>
      <c r="B4" s="1488" t="s">
        <v>793</v>
      </c>
      <c r="C4" s="1488"/>
      <c r="D4" s="1488"/>
      <c r="E4" s="1488"/>
    </row>
    <row r="5" spans="1:7" ht="19.5">
      <c r="A5" s="1157"/>
      <c r="B5" s="1488" t="s">
        <v>794</v>
      </c>
      <c r="C5" s="1488"/>
      <c r="D5" s="1488"/>
      <c r="E5" s="1488"/>
    </row>
    <row r="6" spans="1:7" ht="19.5">
      <c r="A6" s="1157"/>
      <c r="B6" s="1488" t="s">
        <v>795</v>
      </c>
      <c r="C6" s="1488"/>
      <c r="D6" s="1488"/>
      <c r="E6" s="1488"/>
    </row>
    <row r="7" spans="1:7" ht="19.5">
      <c r="A7" s="1157"/>
      <c r="B7" s="1488" t="s">
        <v>796</v>
      </c>
      <c r="C7" s="1488"/>
      <c r="D7" s="1488"/>
      <c r="E7" s="1488"/>
    </row>
    <row r="8" spans="1:7" ht="19.5">
      <c r="A8" s="1157"/>
      <c r="B8" s="1488" t="s">
        <v>797</v>
      </c>
      <c r="C8" s="1488"/>
      <c r="D8" s="1488"/>
      <c r="E8" s="1488"/>
    </row>
    <row r="9" spans="1:7" ht="15">
      <c r="A9" s="1157"/>
      <c r="B9" s="1149"/>
      <c r="C9" s="1149"/>
      <c r="D9" s="1152" t="s">
        <v>115</v>
      </c>
      <c r="E9" s="1157"/>
    </row>
    <row r="10" spans="1:7" ht="15.75">
      <c r="A10" s="1149"/>
      <c r="B10" s="1171" t="s">
        <v>400</v>
      </c>
      <c r="C10" s="1157"/>
      <c r="D10" s="1157"/>
      <c r="E10" s="1172"/>
    </row>
    <row r="11" spans="1:7" ht="15.75">
      <c r="A11" s="1152"/>
      <c r="B11" s="1171" t="s">
        <v>404</v>
      </c>
      <c r="C11" s="1171" t="s">
        <v>405</v>
      </c>
      <c r="D11" s="1171"/>
      <c r="E11" s="1157"/>
    </row>
    <row r="12" spans="1:7" ht="15.75" thickBot="1">
      <c r="A12" s="1159"/>
      <c r="B12" s="1149"/>
      <c r="C12" s="1173" t="s">
        <v>500</v>
      </c>
      <c r="D12" s="1157"/>
      <c r="E12" s="1157"/>
    </row>
    <row r="13" spans="1:7" ht="15">
      <c r="A13" s="1161" t="s">
        <v>407</v>
      </c>
      <c r="B13" s="1162"/>
      <c r="C13" s="271"/>
      <c r="D13" s="1157"/>
      <c r="E13" s="1157"/>
    </row>
    <row r="14" spans="1:7" ht="15">
      <c r="A14" s="1157"/>
      <c r="B14" s="1174"/>
      <c r="C14" s="270"/>
      <c r="D14" s="1175"/>
      <c r="E14" s="1157"/>
    </row>
    <row r="15" spans="1:7" ht="15">
      <c r="A15" s="1157" t="s">
        <v>408</v>
      </c>
      <c r="B15" s="275">
        <v>352</v>
      </c>
      <c r="C15" s="270">
        <v>1.04E-2</v>
      </c>
      <c r="D15" s="1175"/>
      <c r="E15" s="1157"/>
    </row>
    <row r="16" spans="1:7" ht="15">
      <c r="A16" s="1157" t="s">
        <v>409</v>
      </c>
      <c r="B16" s="275">
        <v>353</v>
      </c>
      <c r="C16" s="270">
        <v>1.49E-2</v>
      </c>
      <c r="D16" s="1175"/>
      <c r="E16" s="1157"/>
    </row>
    <row r="17" spans="1:5" ht="15">
      <c r="A17" s="1157" t="s">
        <v>410</v>
      </c>
      <c r="B17" s="275">
        <v>354</v>
      </c>
      <c r="C17" s="270">
        <v>1.1999999999999999E-3</v>
      </c>
      <c r="D17" s="1175"/>
      <c r="E17" s="1157"/>
    </row>
    <row r="18" spans="1:5" ht="15">
      <c r="A18" s="1157" t="s">
        <v>411</v>
      </c>
      <c r="B18" s="275">
        <v>355</v>
      </c>
      <c r="C18" s="270">
        <v>2.1399999999999999E-2</v>
      </c>
      <c r="D18" s="1175"/>
      <c r="E18" s="1157"/>
    </row>
    <row r="19" spans="1:5" ht="15">
      <c r="A19" s="1157" t="s">
        <v>788</v>
      </c>
      <c r="B19" s="275">
        <v>356</v>
      </c>
      <c r="C19" s="270">
        <v>7.7000000000000002E-3</v>
      </c>
      <c r="D19" s="1175"/>
      <c r="E19" s="1157"/>
    </row>
    <row r="20" spans="1:5" ht="15">
      <c r="A20" s="1164" t="s">
        <v>412</v>
      </c>
      <c r="B20" s="275">
        <v>357</v>
      </c>
      <c r="C20" s="1176" t="s">
        <v>631</v>
      </c>
      <c r="D20" s="1157"/>
      <c r="E20" s="1157"/>
    </row>
    <row r="21" spans="1:5" ht="15">
      <c r="A21" s="1164" t="s">
        <v>413</v>
      </c>
      <c r="B21" s="275">
        <v>358</v>
      </c>
      <c r="C21" s="1176" t="s">
        <v>631</v>
      </c>
      <c r="D21" s="1175"/>
      <c r="E21" s="1157"/>
    </row>
    <row r="22" spans="1:5" ht="15.75">
      <c r="A22" s="1151" t="s">
        <v>798</v>
      </c>
      <c r="B22" s="1177"/>
      <c r="C22" s="1178">
        <v>1.46E-2</v>
      </c>
      <c r="D22" s="1175"/>
      <c r="E22" s="1157"/>
    </row>
    <row r="23" spans="1:5" ht="15.75">
      <c r="A23" s="1151"/>
      <c r="B23" s="1177"/>
      <c r="C23" s="1178"/>
      <c r="D23" s="1175"/>
      <c r="E23" s="1157"/>
    </row>
    <row r="24" spans="1:5" s="3" customFormat="1" ht="15.75">
      <c r="A24" s="1185" t="s">
        <v>826</v>
      </c>
      <c r="C24" s="1"/>
    </row>
    <row r="25" spans="1:5" s="3" customFormat="1">
      <c r="C25" s="1"/>
    </row>
    <row r="26" spans="1:5" s="3" customFormat="1" ht="15">
      <c r="A26" s="1186" t="s">
        <v>827</v>
      </c>
      <c r="B26" s="1190">
        <v>390</v>
      </c>
      <c r="C26" s="1189">
        <v>1.7100000000000001E-2</v>
      </c>
    </row>
    <row r="27" spans="1:5" s="3" customFormat="1" ht="15">
      <c r="A27" s="1186" t="s">
        <v>828</v>
      </c>
      <c r="B27" s="1190">
        <v>391</v>
      </c>
      <c r="C27" s="1189">
        <v>2.8199999999999999E-2</v>
      </c>
    </row>
    <row r="28" spans="1:5" s="3" customFormat="1" ht="15">
      <c r="A28" s="1186" t="s">
        <v>829</v>
      </c>
      <c r="B28" s="1190">
        <v>393</v>
      </c>
      <c r="C28" s="1189">
        <v>2.2200000000000001E-2</v>
      </c>
    </row>
    <row r="29" spans="1:5" s="3" customFormat="1" ht="15">
      <c r="A29" s="1186" t="s">
        <v>830</v>
      </c>
      <c r="B29" s="1190">
        <v>394</v>
      </c>
      <c r="C29" s="1189">
        <v>3.1199999999999999E-2</v>
      </c>
    </row>
    <row r="30" spans="1:5" s="3" customFormat="1" ht="15">
      <c r="A30" s="1186" t="s">
        <v>831</v>
      </c>
      <c r="B30" s="1190">
        <v>395</v>
      </c>
      <c r="C30" s="1189">
        <v>3.1699999999999999E-2</v>
      </c>
    </row>
    <row r="31" spans="1:5" s="3" customFormat="1" ht="15">
      <c r="A31" s="1186" t="s">
        <v>832</v>
      </c>
      <c r="B31" s="1190">
        <v>397</v>
      </c>
      <c r="C31" s="1189">
        <v>3.32E-2</v>
      </c>
    </row>
    <row r="32" spans="1:5" s="3" customFormat="1" ht="15">
      <c r="A32" s="1186" t="s">
        <v>833</v>
      </c>
      <c r="B32" s="1190">
        <v>398</v>
      </c>
      <c r="C32" s="1189">
        <v>4.9200000000000001E-2</v>
      </c>
    </row>
    <row r="33" spans="1:5" s="3" customFormat="1" ht="15">
      <c r="A33" s="38"/>
      <c r="B33" s="1186"/>
      <c r="C33" s="1189"/>
    </row>
    <row r="34" spans="1:5" s="3" customFormat="1" ht="15.75">
      <c r="A34" s="38"/>
      <c r="B34" s="1188" t="s">
        <v>834</v>
      </c>
      <c r="C34" s="1189">
        <v>3.2500000000000001E-2</v>
      </c>
    </row>
    <row r="35" spans="1:5" s="3" customFormat="1" ht="15.75">
      <c r="A35" s="38"/>
      <c r="B35" s="1188"/>
      <c r="C35" s="1187"/>
    </row>
    <row r="36" spans="1:5" ht="15.75">
      <c r="A36" s="1157" t="s">
        <v>799</v>
      </c>
      <c r="B36" s="1165"/>
      <c r="C36" s="278"/>
      <c r="D36" s="1157"/>
      <c r="E36" s="1157"/>
    </row>
    <row r="37" spans="1:5" ht="15">
      <c r="A37" s="1489"/>
      <c r="B37" s="1489"/>
      <c r="C37" s="1489"/>
      <c r="D37" s="1489"/>
      <c r="E37" s="1157"/>
    </row>
    <row r="38" spans="1:5" ht="15">
      <c r="A38" s="1489" t="s">
        <v>800</v>
      </c>
      <c r="B38" s="1489"/>
      <c r="C38" s="1489"/>
      <c r="D38" s="1489"/>
      <c r="E38" s="1157"/>
    </row>
    <row r="39" spans="1:5" ht="15">
      <c r="A39" s="1179" t="s">
        <v>159</v>
      </c>
      <c r="B39" s="1179"/>
      <c r="C39" s="1179"/>
      <c r="D39" s="1179"/>
      <c r="E39" s="1157"/>
    </row>
    <row r="40" spans="1:5" ht="15">
      <c r="A40" s="1489" t="s">
        <v>801</v>
      </c>
      <c r="B40" s="1489"/>
      <c r="C40" s="1489"/>
      <c r="D40" s="1157"/>
      <c r="E40" s="1157"/>
    </row>
    <row r="41" spans="1:5" ht="15">
      <c r="A41" s="1489"/>
      <c r="B41" s="1489"/>
      <c r="C41" s="1489"/>
      <c r="D41" s="1157"/>
      <c r="E41" s="1157"/>
    </row>
    <row r="42" spans="1:5" ht="15">
      <c r="A42" s="1157"/>
      <c r="B42" s="1149"/>
      <c r="C42" s="270"/>
      <c r="D42" s="1157"/>
      <c r="E42" s="1157"/>
    </row>
    <row r="43" spans="1:5" ht="15">
      <c r="A43" s="1489"/>
      <c r="B43" s="1489"/>
      <c r="C43" s="1489"/>
      <c r="D43" s="1489"/>
      <c r="E43" s="1157"/>
    </row>
    <row r="44" spans="1:5" ht="15.75">
      <c r="A44" s="1167" t="s">
        <v>802</v>
      </c>
      <c r="B44" s="1149"/>
      <c r="C44" s="270"/>
      <c r="D44" s="1157"/>
      <c r="E44" s="1157"/>
    </row>
    <row r="45" spans="1:5" ht="15">
      <c r="A45" s="1487" t="s">
        <v>842</v>
      </c>
      <c r="B45" s="1487"/>
      <c r="C45" s="1487"/>
      <c r="D45" s="1172"/>
      <c r="E45" s="1157"/>
    </row>
    <row r="46" spans="1:5" ht="15">
      <c r="A46" s="1487"/>
      <c r="B46" s="1487"/>
      <c r="C46" s="1487"/>
      <c r="D46" s="1172"/>
      <c r="E46" s="1157"/>
    </row>
    <row r="47" spans="1:5" ht="15">
      <c r="A47" s="1487"/>
      <c r="B47" s="1487"/>
      <c r="C47" s="1487"/>
      <c r="D47" s="1172"/>
      <c r="E47" s="1157"/>
    </row>
    <row r="48" spans="1:5" ht="15">
      <c r="A48" s="1487"/>
      <c r="B48" s="1487"/>
      <c r="C48" s="1487"/>
      <c r="D48" s="1172"/>
      <c r="E48" s="1157"/>
    </row>
    <row r="49" spans="1:5" ht="15">
      <c r="A49" s="1487"/>
      <c r="B49" s="1487"/>
      <c r="C49" s="1487"/>
      <c r="D49" s="1172"/>
      <c r="E49" s="1157"/>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RowHeight="12.75"/>
  <cols>
    <col min="1" max="1" width="9.140625" style="1148"/>
    <col min="2" max="2" width="38.5703125" style="1148" customWidth="1"/>
    <col min="3" max="3" width="21.85546875" style="1148" customWidth="1"/>
    <col min="4" max="4" width="25.85546875" style="1148" customWidth="1"/>
    <col min="5" max="16384" width="9.140625" style="1148"/>
  </cols>
  <sheetData>
    <row r="1" spans="1:7" s="779" customFormat="1" ht="15.75">
      <c r="A1" s="899" t="s">
        <v>115</v>
      </c>
      <c r="G1" s="276"/>
    </row>
    <row r="2" spans="1:7" s="779" customFormat="1" ht="15.75">
      <c r="A2" s="899" t="s">
        <v>115</v>
      </c>
      <c r="G2" s="276"/>
    </row>
    <row r="3" spans="1:7" ht="19.5">
      <c r="A3" s="1157"/>
      <c r="B3" s="1488" t="s">
        <v>392</v>
      </c>
      <c r="C3" s="1488"/>
      <c r="D3" s="1488"/>
      <c r="E3" s="1488"/>
    </row>
    <row r="4" spans="1:7" ht="19.5">
      <c r="A4" s="1157"/>
      <c r="B4" s="1488" t="s">
        <v>793</v>
      </c>
      <c r="C4" s="1488"/>
      <c r="D4" s="1488"/>
      <c r="E4" s="1488"/>
    </row>
    <row r="5" spans="1:7" ht="19.5">
      <c r="A5" s="1157"/>
      <c r="B5" s="1488" t="s">
        <v>794</v>
      </c>
      <c r="C5" s="1488"/>
      <c r="D5" s="1488"/>
      <c r="E5" s="1488"/>
    </row>
    <row r="6" spans="1:7" ht="19.5">
      <c r="A6" s="1157"/>
      <c r="B6" s="1488" t="s">
        <v>803</v>
      </c>
      <c r="C6" s="1488"/>
      <c r="D6" s="1488"/>
      <c r="E6" s="1488"/>
    </row>
    <row r="7" spans="1:7" ht="19.5">
      <c r="A7" s="1157"/>
      <c r="B7" s="1488" t="s">
        <v>796</v>
      </c>
      <c r="C7" s="1488"/>
      <c r="D7" s="1488"/>
      <c r="E7" s="1488"/>
    </row>
    <row r="8" spans="1:7" ht="19.5">
      <c r="A8" s="1157"/>
      <c r="B8" s="1488" t="s">
        <v>804</v>
      </c>
      <c r="C8" s="1488"/>
      <c r="D8" s="1488"/>
      <c r="E8" s="1488"/>
    </row>
    <row r="9" spans="1:7" ht="15">
      <c r="A9" s="1157"/>
      <c r="B9" s="1149"/>
      <c r="C9" s="1149"/>
      <c r="D9" s="1152" t="s">
        <v>115</v>
      </c>
      <c r="E9" s="1157"/>
    </row>
    <row r="10" spans="1:7" ht="15.75">
      <c r="A10" s="1157"/>
      <c r="B10" s="1149"/>
      <c r="C10" s="1171" t="s">
        <v>400</v>
      </c>
      <c r="D10" s="1157"/>
      <c r="E10" s="1157"/>
    </row>
    <row r="11" spans="1:7" ht="15.75">
      <c r="A11" s="1157"/>
      <c r="B11" s="1152"/>
      <c r="C11" s="1171" t="s">
        <v>404</v>
      </c>
      <c r="D11" s="1171" t="s">
        <v>405</v>
      </c>
      <c r="E11" s="1171"/>
    </row>
    <row r="12" spans="1:7" ht="15.75" thickBot="1">
      <c r="A12" s="1157"/>
      <c r="B12" s="1159"/>
      <c r="C12" s="1149"/>
      <c r="D12" s="1173" t="s">
        <v>500</v>
      </c>
      <c r="E12" s="1157"/>
    </row>
    <row r="13" spans="1:7" ht="15">
      <c r="A13" s="1157"/>
      <c r="B13" s="1161" t="s">
        <v>407</v>
      </c>
      <c r="C13" s="1162"/>
      <c r="D13" s="271"/>
      <c r="E13" s="1157"/>
    </row>
    <row r="14" spans="1:7" ht="15">
      <c r="A14" s="1157"/>
      <c r="B14" s="1157"/>
      <c r="C14" s="1174"/>
      <c r="D14" s="270"/>
      <c r="E14" s="1175"/>
    </row>
    <row r="15" spans="1:7" ht="15">
      <c r="A15" s="1157"/>
      <c r="B15" s="1157" t="s">
        <v>805</v>
      </c>
      <c r="C15" s="1164">
        <v>350.1</v>
      </c>
      <c r="D15" s="270">
        <v>1.44E-2</v>
      </c>
      <c r="E15" s="1175"/>
    </row>
    <row r="16" spans="1:7" ht="15">
      <c r="A16" s="1157"/>
      <c r="B16" s="1157" t="s">
        <v>408</v>
      </c>
      <c r="C16" s="275">
        <v>352</v>
      </c>
      <c r="D16" s="270">
        <v>2.0799999999999999E-2</v>
      </c>
      <c r="E16" s="1175"/>
    </row>
    <row r="17" spans="1:5" ht="15">
      <c r="A17" s="1157"/>
      <c r="B17" s="1157" t="s">
        <v>409</v>
      </c>
      <c r="C17" s="275">
        <v>353</v>
      </c>
      <c r="D17" s="270">
        <v>2.1499999999999998E-2</v>
      </c>
      <c r="E17" s="1175"/>
    </row>
    <row r="18" spans="1:5" ht="15">
      <c r="A18" s="1157"/>
      <c r="B18" s="1157" t="s">
        <v>410</v>
      </c>
      <c r="C18" s="275">
        <v>354</v>
      </c>
      <c r="D18" s="270">
        <v>2.6100000000000002E-2</v>
      </c>
      <c r="E18" s="1175"/>
    </row>
    <row r="19" spans="1:5" ht="15">
      <c r="A19" s="1157"/>
      <c r="B19" s="1157" t="s">
        <v>411</v>
      </c>
      <c r="C19" s="275">
        <v>355</v>
      </c>
      <c r="D19" s="270">
        <v>3.95E-2</v>
      </c>
      <c r="E19" s="1175"/>
    </row>
    <row r="20" spans="1:5" ht="15">
      <c r="A20" s="1157"/>
      <c r="B20" s="1157" t="s">
        <v>788</v>
      </c>
      <c r="C20" s="275">
        <v>356</v>
      </c>
      <c r="D20" s="270">
        <v>2.9100000000000001E-2</v>
      </c>
      <c r="E20" s="1175"/>
    </row>
    <row r="21" spans="1:5" ht="15">
      <c r="A21" s="1157"/>
      <c r="B21" s="1157" t="s">
        <v>412</v>
      </c>
      <c r="C21" s="275">
        <v>357</v>
      </c>
      <c r="D21" s="270">
        <v>2.9899999999999999E-2</v>
      </c>
      <c r="E21" s="1175"/>
    </row>
    <row r="22" spans="1:5" ht="15">
      <c r="A22" s="1157"/>
      <c r="B22" s="1157" t="s">
        <v>413</v>
      </c>
      <c r="C22" s="275">
        <v>358</v>
      </c>
      <c r="D22" s="270">
        <v>2.6200000000000001E-2</v>
      </c>
      <c r="E22" s="1175"/>
    </row>
    <row r="23" spans="1:5" ht="15">
      <c r="A23" s="1157"/>
      <c r="B23" s="1157"/>
      <c r="C23" s="1149"/>
      <c r="D23" s="270"/>
      <c r="E23" s="1157"/>
    </row>
    <row r="24" spans="1:5" ht="15.75">
      <c r="A24" s="1157"/>
      <c r="B24" s="1157" t="s">
        <v>799</v>
      </c>
      <c r="C24" s="1165"/>
      <c r="D24" s="278"/>
      <c r="E24" s="1157"/>
    </row>
    <row r="25" spans="1:5" ht="15">
      <c r="A25" s="1157"/>
      <c r="B25" s="1489"/>
      <c r="C25" s="1489"/>
      <c r="D25" s="1489"/>
      <c r="E25" s="1489"/>
    </row>
    <row r="26" spans="1:5" ht="15">
      <c r="A26" s="1157"/>
      <c r="B26" s="1489" t="s">
        <v>806</v>
      </c>
      <c r="C26" s="1489"/>
      <c r="D26" s="1489"/>
      <c r="E26" s="1489"/>
    </row>
    <row r="27" spans="1:5" ht="15">
      <c r="A27" s="1157"/>
      <c r="B27" s="1489"/>
      <c r="C27" s="1489"/>
      <c r="D27" s="1489"/>
      <c r="E27" s="1489"/>
    </row>
    <row r="28" spans="1:5" ht="15.75">
      <c r="A28" s="1157"/>
      <c r="B28" s="1167" t="s">
        <v>802</v>
      </c>
      <c r="C28" s="1149"/>
      <c r="D28" s="270"/>
      <c r="E28" s="1157"/>
    </row>
    <row r="29" spans="1:5" ht="15">
      <c r="A29" s="1157"/>
      <c r="B29" s="1487" t="s">
        <v>842</v>
      </c>
      <c r="C29" s="1487"/>
      <c r="D29" s="1487"/>
      <c r="E29" s="1172"/>
    </row>
    <row r="30" spans="1:5" ht="15">
      <c r="A30" s="1157"/>
      <c r="B30" s="1487"/>
      <c r="C30" s="1487"/>
      <c r="D30" s="1487"/>
      <c r="E30" s="1172"/>
    </row>
    <row r="31" spans="1:5" ht="15">
      <c r="A31" s="1157"/>
      <c r="B31" s="1487"/>
      <c r="C31" s="1487"/>
      <c r="D31" s="1487"/>
      <c r="E31" s="1172"/>
    </row>
    <row r="32" spans="1:5" ht="15">
      <c r="A32" s="1157"/>
      <c r="B32" s="1487"/>
      <c r="C32" s="1487"/>
      <c r="D32" s="1487"/>
      <c r="E32" s="1172"/>
    </row>
    <row r="33" spans="1:5" ht="15">
      <c r="A33" s="1157"/>
      <c r="B33" s="1487"/>
      <c r="C33" s="1487"/>
      <c r="D33" s="1487"/>
      <c r="E33" s="1172"/>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2"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A3" sqref="A3:D3"/>
    </sheetView>
  </sheetViews>
  <sheetFormatPr defaultRowHeight="12.75"/>
  <cols>
    <col min="1" max="1" width="38.85546875" style="1148" customWidth="1"/>
    <col min="2" max="2" width="28.42578125" style="1148" customWidth="1"/>
    <col min="3" max="3" width="23.140625" style="1148" customWidth="1"/>
    <col min="4" max="16384" width="9.140625" style="1148"/>
  </cols>
  <sheetData>
    <row r="1" spans="1:7" s="779" customFormat="1" ht="15.75">
      <c r="A1" s="899" t="s">
        <v>115</v>
      </c>
      <c r="G1" s="276"/>
    </row>
    <row r="2" spans="1:7" s="779" customFormat="1" ht="15.75">
      <c r="A2" s="899" t="s">
        <v>115</v>
      </c>
      <c r="G2" s="276"/>
    </row>
    <row r="3" spans="1:7" ht="19.5">
      <c r="A3" s="1488" t="s">
        <v>392</v>
      </c>
      <c r="B3" s="1488"/>
      <c r="C3" s="1488"/>
      <c r="D3" s="1488"/>
    </row>
    <row r="4" spans="1:7" ht="19.5">
      <c r="A4" s="1488" t="s">
        <v>793</v>
      </c>
      <c r="B4" s="1488"/>
      <c r="C4" s="1488"/>
      <c r="D4" s="1488"/>
    </row>
    <row r="5" spans="1:7" ht="19.5">
      <c r="A5" s="1488" t="s">
        <v>794</v>
      </c>
      <c r="B5" s="1488"/>
      <c r="C5" s="1488"/>
      <c r="D5" s="1488"/>
    </row>
    <row r="6" spans="1:7" ht="19.5">
      <c r="A6" s="1488" t="s">
        <v>807</v>
      </c>
      <c r="B6" s="1488"/>
      <c r="C6" s="1488"/>
      <c r="D6" s="1488"/>
    </row>
    <row r="7" spans="1:7" ht="19.5">
      <c r="A7" s="1488" t="s">
        <v>796</v>
      </c>
      <c r="B7" s="1488"/>
      <c r="C7" s="1488"/>
      <c r="D7" s="1488"/>
    </row>
    <row r="8" spans="1:7" ht="19.5">
      <c r="A8" s="1488" t="s">
        <v>808</v>
      </c>
      <c r="B8" s="1488"/>
      <c r="C8" s="1488"/>
      <c r="D8" s="1488"/>
    </row>
    <row r="9" spans="1:7" ht="15">
      <c r="A9" s="1149"/>
      <c r="B9" s="1149"/>
      <c r="C9" s="1152" t="s">
        <v>115</v>
      </c>
      <c r="D9" s="1157"/>
    </row>
    <row r="10" spans="1:7" ht="15.75">
      <c r="A10" s="1149"/>
      <c r="B10" s="1171" t="s">
        <v>400</v>
      </c>
      <c r="C10" s="1157"/>
      <c r="D10" s="1157"/>
    </row>
    <row r="11" spans="1:7" ht="15.75">
      <c r="A11" s="1152"/>
      <c r="B11" s="1171" t="s">
        <v>404</v>
      </c>
      <c r="C11" s="1171" t="s">
        <v>405</v>
      </c>
      <c r="D11" s="1171"/>
    </row>
    <row r="12" spans="1:7" ht="15.75" thickBot="1">
      <c r="A12" s="1159"/>
      <c r="B12" s="1149"/>
      <c r="C12" s="1173" t="s">
        <v>500</v>
      </c>
      <c r="D12" s="1157"/>
    </row>
    <row r="13" spans="1:7" ht="15">
      <c r="A13" s="1161" t="s">
        <v>407</v>
      </c>
      <c r="B13" s="1162"/>
      <c r="C13" s="271"/>
      <c r="D13" s="1157"/>
    </row>
    <row r="14" spans="1:7" ht="15">
      <c r="A14" s="1164" t="s">
        <v>408</v>
      </c>
      <c r="B14" s="275">
        <v>352</v>
      </c>
      <c r="C14" s="270">
        <v>2.0199999999999999E-2</v>
      </c>
      <c r="D14" s="1175"/>
    </row>
    <row r="15" spans="1:7" ht="15">
      <c r="A15" s="1164" t="s">
        <v>409</v>
      </c>
      <c r="B15" s="275">
        <v>353</v>
      </c>
      <c r="C15" s="270">
        <v>2.29E-2</v>
      </c>
      <c r="D15" s="1175"/>
    </row>
    <row r="16" spans="1:7" ht="15">
      <c r="A16" s="1174"/>
      <c r="B16" s="275"/>
      <c r="C16" s="270"/>
      <c r="D16" s="1175"/>
    </row>
    <row r="17" spans="1:4" ht="15">
      <c r="A17" s="1164" t="s">
        <v>809</v>
      </c>
      <c r="B17" s="275">
        <v>354</v>
      </c>
      <c r="C17" s="270">
        <v>1.8800000000000001E-2</v>
      </c>
      <c r="D17" s="1175"/>
    </row>
    <row r="18" spans="1:4" ht="15">
      <c r="A18" s="1164" t="s">
        <v>810</v>
      </c>
      <c r="B18" s="275">
        <v>354</v>
      </c>
      <c r="C18" s="270">
        <v>1.8800000000000001E-2</v>
      </c>
      <c r="D18" s="1175"/>
    </row>
    <row r="19" spans="1:4" ht="15">
      <c r="A19" s="1180"/>
      <c r="B19" s="1181"/>
      <c r="C19" s="312"/>
      <c r="D19" s="1175"/>
    </row>
    <row r="20" spans="1:4" ht="15">
      <c r="A20" s="1164" t="s">
        <v>811</v>
      </c>
      <c r="B20" s="275">
        <v>355</v>
      </c>
      <c r="C20" s="270">
        <v>3.5200000000000002E-2</v>
      </c>
      <c r="D20" s="1175"/>
    </row>
    <row r="21" spans="1:4" ht="15">
      <c r="A21" s="1164" t="s">
        <v>812</v>
      </c>
      <c r="B21" s="275">
        <v>355</v>
      </c>
      <c r="C21" s="270">
        <v>3.5200000000000002E-2</v>
      </c>
      <c r="D21" s="1175"/>
    </row>
    <row r="22" spans="1:4" ht="15">
      <c r="A22" s="1180"/>
      <c r="B22" s="275"/>
      <c r="C22" s="270"/>
      <c r="D22" s="1175"/>
    </row>
    <row r="23" spans="1:4" ht="15">
      <c r="A23" s="1164" t="s">
        <v>813</v>
      </c>
      <c r="B23" s="275">
        <v>356</v>
      </c>
      <c r="C23" s="270">
        <v>1.9099999999999999E-2</v>
      </c>
      <c r="D23" s="1175"/>
    </row>
    <row r="24" spans="1:4" ht="15">
      <c r="A24" s="1164" t="s">
        <v>814</v>
      </c>
      <c r="B24" s="275">
        <v>356</v>
      </c>
      <c r="C24" s="270">
        <v>1.9099999999999999E-2</v>
      </c>
      <c r="D24" s="1175"/>
    </row>
    <row r="25" spans="1:4" ht="15">
      <c r="A25" s="1164" t="s">
        <v>815</v>
      </c>
      <c r="B25" s="275">
        <v>356</v>
      </c>
      <c r="C25" s="270">
        <v>1.9099999999999999E-2</v>
      </c>
      <c r="D25" s="1175"/>
    </row>
    <row r="26" spans="1:4" ht="15">
      <c r="A26" s="1164" t="s">
        <v>816</v>
      </c>
      <c r="B26" s="275">
        <v>356</v>
      </c>
      <c r="C26" s="270">
        <v>1.9099999999999999E-2</v>
      </c>
      <c r="D26" s="1175"/>
    </row>
    <row r="27" spans="1:4" ht="15">
      <c r="A27" s="1164" t="s">
        <v>817</v>
      </c>
      <c r="B27" s="275">
        <v>356</v>
      </c>
      <c r="C27" s="270">
        <v>1.9099999999999999E-2</v>
      </c>
      <c r="D27" s="1175"/>
    </row>
    <row r="28" spans="1:4" ht="15">
      <c r="A28" s="1164"/>
      <c r="B28" s="275"/>
      <c r="C28" s="270"/>
      <c r="D28" s="1175"/>
    </row>
    <row r="29" spans="1:4" ht="15">
      <c r="A29" s="1164" t="s">
        <v>412</v>
      </c>
      <c r="B29" s="275">
        <v>357</v>
      </c>
      <c r="C29" s="270">
        <v>2.2599999999999999E-2</v>
      </c>
      <c r="D29" s="1175"/>
    </row>
    <row r="30" spans="1:4" ht="15">
      <c r="A30" s="1164" t="s">
        <v>413</v>
      </c>
      <c r="B30" s="275">
        <v>358</v>
      </c>
      <c r="C30" s="270">
        <v>3.27E-2</v>
      </c>
      <c r="D30" s="1175"/>
    </row>
    <row r="31" spans="1:4" ht="15">
      <c r="A31" s="1174"/>
      <c r="B31" s="1163"/>
      <c r="C31" s="312"/>
      <c r="D31" s="1157"/>
    </row>
    <row r="32" spans="1:4" ht="15.75" thickBot="1">
      <c r="A32" s="1182"/>
      <c r="B32" s="1183"/>
      <c r="C32" s="1184"/>
      <c r="D32" s="1157"/>
    </row>
    <row r="33" spans="1:4" ht="15">
      <c r="A33" s="1159"/>
      <c r="B33" s="1149"/>
      <c r="C33" s="270"/>
      <c r="D33" s="1157"/>
    </row>
    <row r="34" spans="1:4" ht="15">
      <c r="A34" s="1157"/>
      <c r="B34" s="1149"/>
      <c r="C34" s="270"/>
      <c r="D34" s="1157"/>
    </row>
    <row r="35" spans="1:4" ht="15.75">
      <c r="A35" s="1157" t="s">
        <v>799</v>
      </c>
      <c r="B35" s="1165"/>
      <c r="C35" s="278"/>
      <c r="D35" s="1157"/>
    </row>
    <row r="36" spans="1:4" ht="15">
      <c r="A36" s="1157"/>
      <c r="B36" s="1157"/>
      <c r="C36" s="1157"/>
      <c r="D36" s="1157"/>
    </row>
    <row r="37" spans="1:4" ht="15">
      <c r="A37" s="1489" t="s">
        <v>818</v>
      </c>
      <c r="B37" s="1489"/>
      <c r="C37" s="1489"/>
      <c r="D37" s="1489"/>
    </row>
    <row r="38" spans="1:4" ht="15">
      <c r="A38" s="1157" t="s">
        <v>819</v>
      </c>
      <c r="B38" s="1157"/>
      <c r="C38" s="1157"/>
      <c r="D38" s="1157"/>
    </row>
    <row r="39" spans="1:4" ht="15">
      <c r="A39" s="1157" t="s">
        <v>820</v>
      </c>
      <c r="B39" s="1157"/>
      <c r="C39" s="1157"/>
      <c r="D39" s="1157"/>
    </row>
    <row r="40" spans="1:4" ht="15">
      <c r="A40" s="1157"/>
      <c r="B40" s="1157"/>
      <c r="C40" s="1157"/>
      <c r="D40" s="1157"/>
    </row>
    <row r="41" spans="1:4" ht="15.75">
      <c r="A41" s="1167" t="s">
        <v>821</v>
      </c>
      <c r="B41" s="1149"/>
      <c r="C41" s="270"/>
      <c r="D41" s="1157"/>
    </row>
    <row r="42" spans="1:4">
      <c r="A42" s="1487" t="s">
        <v>842</v>
      </c>
      <c r="B42" s="1487"/>
      <c r="C42" s="1487"/>
      <c r="D42" s="1172"/>
    </row>
    <row r="43" spans="1:4">
      <c r="A43" s="1487"/>
      <c r="B43" s="1487"/>
      <c r="C43" s="1487"/>
      <c r="D43" s="1172"/>
    </row>
    <row r="44" spans="1:4">
      <c r="A44" s="1487"/>
      <c r="B44" s="1487"/>
      <c r="C44" s="1487"/>
      <c r="D44" s="1172"/>
    </row>
    <row r="45" spans="1:4">
      <c r="A45" s="1487"/>
      <c r="B45" s="1487"/>
      <c r="C45" s="1487"/>
      <c r="D45" s="1172"/>
    </row>
    <row r="46" spans="1:4">
      <c r="A46" s="1487"/>
      <c r="B46" s="1487"/>
      <c r="C46" s="1487"/>
      <c r="D46" s="1172"/>
    </row>
    <row r="47" spans="1:4" ht="15">
      <c r="A47" s="1157"/>
      <c r="B47" s="1157"/>
      <c r="C47" s="1157"/>
      <c r="D47" s="1157"/>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34"/>
  <sheetViews>
    <sheetView defaultGridColor="0" topLeftCell="A7" colorId="22" zoomScale="75" workbookViewId="0">
      <selection activeCell="A3" sqref="A3"/>
    </sheetView>
  </sheetViews>
  <sheetFormatPr defaultColWidth="14.5703125" defaultRowHeight="15"/>
  <cols>
    <col min="1" max="1" width="41.5703125" style="1157" customWidth="1"/>
    <col min="2" max="2" width="33.140625" style="1157" customWidth="1"/>
    <col min="3" max="4" width="31.85546875" style="1157" customWidth="1"/>
    <col min="5" max="5" width="16.5703125" style="1157" customWidth="1"/>
    <col min="6" max="6" width="14.5703125" style="1157" customWidth="1"/>
    <col min="7" max="7" width="4.85546875" style="1157" customWidth="1"/>
    <col min="8" max="8" width="14.5703125" style="1158" customWidth="1"/>
    <col min="9" max="9" width="18.42578125" style="1157" customWidth="1"/>
    <col min="10" max="10" width="15.5703125" style="1157" customWidth="1"/>
    <col min="11" max="11" width="6.140625" style="1157" customWidth="1"/>
    <col min="12" max="12" width="14.5703125" style="1157" customWidth="1"/>
    <col min="13" max="13" width="16.140625" style="1157" customWidth="1"/>
    <col min="14" max="14" width="14.5703125" style="1157" customWidth="1"/>
    <col min="15" max="15" width="4.85546875" style="1157" customWidth="1"/>
    <col min="16" max="16" width="18.5703125" style="1157" customWidth="1"/>
    <col min="17" max="16384" width="14.5703125" style="1157"/>
  </cols>
  <sheetData>
    <row r="1" spans="1:7" s="779" customFormat="1" ht="15.75">
      <c r="A1" s="899" t="s">
        <v>115</v>
      </c>
      <c r="G1" s="276"/>
    </row>
    <row r="2" spans="1:7" s="779" customFormat="1" ht="15.75">
      <c r="A2" s="899" t="s">
        <v>115</v>
      </c>
      <c r="G2" s="276"/>
    </row>
    <row r="3" spans="1:7" ht="19.5">
      <c r="B3" s="1488" t="s">
        <v>392</v>
      </c>
      <c r="C3" s="1488"/>
      <c r="D3" s="1488"/>
      <c r="E3" s="1488"/>
    </row>
    <row r="4" spans="1:7" ht="19.5">
      <c r="B4" s="1488" t="s">
        <v>793</v>
      </c>
      <c r="C4" s="1488"/>
      <c r="D4" s="1488"/>
      <c r="E4" s="1488"/>
    </row>
    <row r="5" spans="1:7" ht="19.5">
      <c r="B5" s="1488" t="s">
        <v>794</v>
      </c>
      <c r="C5" s="1488"/>
      <c r="D5" s="1488"/>
      <c r="E5" s="1488"/>
    </row>
    <row r="6" spans="1:7" ht="19.5">
      <c r="B6" s="1488" t="s">
        <v>822</v>
      </c>
      <c r="C6" s="1488"/>
      <c r="D6" s="1488"/>
      <c r="E6" s="1488"/>
    </row>
    <row r="7" spans="1:7" ht="19.5">
      <c r="B7" s="1488" t="s">
        <v>796</v>
      </c>
      <c r="C7" s="1488"/>
      <c r="D7" s="1488"/>
      <c r="E7" s="1488"/>
    </row>
    <row r="8" spans="1:7" ht="19.5">
      <c r="B8" s="1488" t="s">
        <v>823</v>
      </c>
      <c r="C8" s="1488"/>
      <c r="D8" s="1488"/>
      <c r="E8" s="1488"/>
    </row>
    <row r="9" spans="1:7">
      <c r="B9" s="1149"/>
      <c r="C9" s="1149"/>
      <c r="D9" s="1152" t="s">
        <v>115</v>
      </c>
    </row>
    <row r="10" spans="1:7">
      <c r="A10" s="1487"/>
      <c r="B10" s="1487"/>
      <c r="C10" s="1487"/>
      <c r="D10" s="1172"/>
    </row>
    <row r="11" spans="1:7" ht="15.75">
      <c r="A11" s="1149"/>
      <c r="B11" s="1171" t="s">
        <v>400</v>
      </c>
    </row>
    <row r="12" spans="1:7" ht="15.75">
      <c r="A12" s="1152"/>
      <c r="B12" s="1171" t="s">
        <v>404</v>
      </c>
      <c r="C12" s="1171" t="s">
        <v>405</v>
      </c>
      <c r="D12" s="1171"/>
    </row>
    <row r="13" spans="1:7" ht="15.75" thickBot="1">
      <c r="C13" s="1175" t="s">
        <v>500</v>
      </c>
    </row>
    <row r="14" spans="1:7">
      <c r="A14" s="1161" t="s">
        <v>407</v>
      </c>
      <c r="B14" s="1162"/>
      <c r="C14" s="271"/>
    </row>
    <row r="15" spans="1:7">
      <c r="A15" s="1174"/>
      <c r="D15" s="1175"/>
    </row>
    <row r="16" spans="1:7">
      <c r="A16" s="1164" t="s">
        <v>408</v>
      </c>
      <c r="B16" s="275">
        <v>352</v>
      </c>
      <c r="C16" s="270">
        <v>6.8999999999999999E-3</v>
      </c>
      <c r="D16" s="1175"/>
    </row>
    <row r="17" spans="1:4">
      <c r="A17" s="1180" t="s">
        <v>409</v>
      </c>
      <c r="B17" s="275">
        <v>353</v>
      </c>
      <c r="C17" s="270">
        <v>1.7000000000000001E-2</v>
      </c>
      <c r="D17" s="1175"/>
    </row>
    <row r="18" spans="1:4">
      <c r="A18" s="1180" t="s">
        <v>410</v>
      </c>
      <c r="B18" s="275">
        <v>354</v>
      </c>
      <c r="C18" s="270">
        <v>4.0000000000000002E-4</v>
      </c>
      <c r="D18" s="1175"/>
    </row>
    <row r="19" spans="1:4">
      <c r="A19" s="1180" t="s">
        <v>411</v>
      </c>
      <c r="B19" s="275">
        <v>355</v>
      </c>
      <c r="C19" s="270">
        <v>2.6499999999999999E-2</v>
      </c>
      <c r="D19" s="1175"/>
    </row>
    <row r="20" spans="1:4">
      <c r="A20" s="1180" t="s">
        <v>788</v>
      </c>
      <c r="B20" s="275">
        <v>356</v>
      </c>
      <c r="C20" s="270">
        <v>1.12E-2</v>
      </c>
      <c r="D20" s="1175"/>
    </row>
    <row r="21" spans="1:4">
      <c r="A21" s="1180" t="s">
        <v>412</v>
      </c>
      <c r="B21" s="275">
        <v>357</v>
      </c>
      <c r="C21" s="270">
        <v>0.02</v>
      </c>
      <c r="D21" s="1175"/>
    </row>
    <row r="22" spans="1:4">
      <c r="A22" s="1180" t="s">
        <v>413</v>
      </c>
      <c r="B22" s="275">
        <v>358</v>
      </c>
      <c r="C22" s="270">
        <v>0.05</v>
      </c>
      <c r="D22" s="1175"/>
    </row>
    <row r="23" spans="1:4">
      <c r="A23" s="1180" t="s">
        <v>789</v>
      </c>
      <c r="B23" s="275">
        <v>359</v>
      </c>
      <c r="C23" s="1173" t="s">
        <v>824</v>
      </c>
      <c r="D23" s="1175"/>
    </row>
    <row r="24" spans="1:4">
      <c r="A24" s="1180"/>
      <c r="B24" s="275"/>
      <c r="C24" s="270"/>
      <c r="D24" s="1175"/>
    </row>
    <row r="25" spans="1:4">
      <c r="A25" s="1174"/>
      <c r="B25" s="1163"/>
      <c r="C25" s="312"/>
    </row>
    <row r="26" spans="1:4">
      <c r="A26" s="1489" t="s">
        <v>825</v>
      </c>
      <c r="B26" s="1489"/>
      <c r="C26" s="1489"/>
      <c r="D26" s="1489"/>
    </row>
    <row r="27" spans="1:4" ht="15.75">
      <c r="B27" s="1165"/>
      <c r="C27" s="278"/>
    </row>
    <row r="28" spans="1:4">
      <c r="A28" s="1489"/>
      <c r="B28" s="1489"/>
      <c r="C28" s="1489"/>
      <c r="D28" s="1489"/>
    </row>
    <row r="29" spans="1:4" ht="15.75">
      <c r="A29" s="1167" t="s">
        <v>821</v>
      </c>
      <c r="B29" s="1149"/>
      <c r="C29" s="270"/>
    </row>
    <row r="30" spans="1:4">
      <c r="A30" s="1487" t="s">
        <v>842</v>
      </c>
      <c r="B30" s="1487"/>
      <c r="C30" s="1487"/>
      <c r="D30" s="1172"/>
    </row>
    <row r="31" spans="1:4">
      <c r="A31" s="1487"/>
      <c r="B31" s="1487"/>
      <c r="C31" s="1487"/>
      <c r="D31" s="1172"/>
    </row>
    <row r="32" spans="1:4">
      <c r="A32" s="1487"/>
      <c r="B32" s="1487"/>
      <c r="C32" s="1487"/>
      <c r="D32" s="1172"/>
    </row>
    <row r="33" spans="1:4">
      <c r="A33" s="1487"/>
      <c r="B33" s="1487"/>
      <c r="C33" s="1487"/>
      <c r="D33" s="1172"/>
    </row>
    <row r="34" spans="1:4">
      <c r="A34" s="1487"/>
      <c r="B34" s="1487"/>
      <c r="C34" s="1487"/>
      <c r="D34" s="1172"/>
    </row>
  </sheetData>
  <mergeCells count="10">
    <mergeCell ref="A10:C10"/>
    <mergeCell ref="A26:D26"/>
    <mergeCell ref="A28:D28"/>
    <mergeCell ref="A30:C34"/>
    <mergeCell ref="B3:E3"/>
    <mergeCell ref="B4:E4"/>
    <mergeCell ref="B5:E5"/>
    <mergeCell ref="B6:E6"/>
    <mergeCell ref="B7:E7"/>
    <mergeCell ref="B8:E8"/>
  </mergeCells>
  <conditionalFormatting sqref="B3:T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83" orientation="landscape"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D23" sqref="D23"/>
    </sheetView>
  </sheetViews>
  <sheetFormatPr defaultColWidth="8.85546875" defaultRowHeight="12.75"/>
  <cols>
    <col min="1" max="1" width="42.42578125" style="334" customWidth="1"/>
    <col min="2" max="2" width="10.42578125" style="334" customWidth="1"/>
    <col min="3" max="3" width="3.42578125" style="334" customWidth="1"/>
    <col min="4" max="4" width="28.5703125" style="334" customWidth="1"/>
    <col min="5" max="5" width="4.5703125" style="334" customWidth="1"/>
    <col min="6" max="6" width="15.5703125" style="334" customWidth="1"/>
    <col min="7" max="7" width="8.85546875" style="334"/>
    <col min="8" max="8" width="21.140625" style="334" customWidth="1"/>
    <col min="9" max="9" width="17.42578125" style="334" customWidth="1"/>
    <col min="10" max="10" width="8.85546875" style="334"/>
    <col min="11" max="11" width="18.140625" style="334" customWidth="1"/>
    <col min="12" max="16384" width="8.85546875" style="334"/>
  </cols>
  <sheetData>
    <row r="1" spans="1:11" ht="15.75">
      <c r="A1" s="1491" t="s">
        <v>388</v>
      </c>
      <c r="B1" s="1491"/>
      <c r="C1" s="1491"/>
      <c r="D1" s="1491"/>
      <c r="E1" s="1491"/>
      <c r="F1" s="1491"/>
      <c r="G1" s="1491"/>
      <c r="H1" s="1491"/>
      <c r="I1" s="1491"/>
      <c r="J1" s="1491"/>
      <c r="K1" s="1491"/>
    </row>
    <row r="2" spans="1:11" ht="15.75">
      <c r="A2" s="1490" t="s">
        <v>568</v>
      </c>
      <c r="B2" s="1490"/>
      <c r="C2" s="1490"/>
      <c r="D2" s="1490"/>
      <c r="E2" s="1490"/>
      <c r="F2" s="1490"/>
      <c r="G2" s="1490"/>
      <c r="H2" s="1490"/>
      <c r="I2" s="1490"/>
      <c r="J2" s="1490"/>
      <c r="K2" s="1490"/>
    </row>
    <row r="3" spans="1:11" ht="15.75">
      <c r="A3" s="1490" t="s">
        <v>569</v>
      </c>
      <c r="B3" s="1490"/>
      <c r="C3" s="1490"/>
      <c r="D3" s="1490"/>
      <c r="E3" s="1490"/>
      <c r="F3" s="1490"/>
      <c r="G3" s="1490"/>
      <c r="H3" s="1490"/>
      <c r="I3" s="1490"/>
      <c r="J3" s="1490"/>
      <c r="K3" s="1490"/>
    </row>
    <row r="4" spans="1:11" ht="15.75">
      <c r="A4" s="518"/>
      <c r="B4" s="518"/>
      <c r="C4" s="518"/>
      <c r="D4" s="1490"/>
      <c r="E4" s="1490"/>
      <c r="F4" s="1490"/>
      <c r="G4" s="1490"/>
      <c r="H4" s="518"/>
      <c r="I4" s="518"/>
      <c r="J4" s="518"/>
      <c r="K4" s="518"/>
    </row>
    <row r="5" spans="1:11">
      <c r="A5" s="415"/>
      <c r="B5" s="415"/>
      <c r="C5" s="415"/>
      <c r="D5" s="415"/>
      <c r="E5" s="415"/>
      <c r="F5" s="415"/>
      <c r="G5" s="415"/>
      <c r="H5" s="415"/>
      <c r="I5" s="415"/>
      <c r="J5" s="415"/>
      <c r="K5" s="415"/>
    </row>
    <row r="6" spans="1:11">
      <c r="A6" s="415"/>
      <c r="B6" s="415"/>
      <c r="C6" s="415"/>
      <c r="D6" s="415"/>
      <c r="E6" s="415"/>
      <c r="F6" s="415"/>
      <c r="G6" s="415"/>
      <c r="H6" s="415"/>
      <c r="I6" s="415"/>
      <c r="J6" s="415"/>
      <c r="K6" s="415"/>
    </row>
    <row r="7" spans="1:11" ht="16.5" thickBot="1">
      <c r="A7" s="805"/>
      <c r="B7" s="806"/>
      <c r="C7" s="806"/>
      <c r="D7" s="806"/>
      <c r="E7" s="806"/>
      <c r="F7" s="806"/>
      <c r="G7" s="806"/>
      <c r="H7" s="806"/>
      <c r="I7" s="806"/>
      <c r="J7" s="806"/>
      <c r="K7" s="806"/>
    </row>
    <row r="8" spans="1:11" ht="47.25">
      <c r="A8" s="807" t="str">
        <f>"Reconciliation Revenue Requirement For Year 2016 Available May 25, 2017"</f>
        <v>Reconciliation Revenue Requirement For Year 2016 Available May 25, 2017</v>
      </c>
      <c r="B8" s="806"/>
      <c r="C8" s="806"/>
      <c r="D8" s="807" t="s">
        <v>991</v>
      </c>
      <c r="E8" s="806"/>
      <c r="F8" s="806"/>
      <c r="G8" s="518"/>
      <c r="H8" s="807" t="s">
        <v>549</v>
      </c>
      <c r="I8" s="518"/>
      <c r="J8" s="518"/>
      <c r="K8" s="518"/>
    </row>
    <row r="9" spans="1:11" ht="15.75">
      <c r="A9" s="808" t="s">
        <v>115</v>
      </c>
      <c r="B9" s="806"/>
      <c r="C9" s="806"/>
      <c r="D9" s="808"/>
      <c r="E9" s="806"/>
      <c r="F9" s="806"/>
      <c r="G9" s="518"/>
      <c r="H9" s="809"/>
      <c r="I9" s="518"/>
      <c r="J9" s="518"/>
      <c r="K9" s="518"/>
    </row>
    <row r="10" spans="1:11" ht="16.5" thickBot="1">
      <c r="A10" s="893">
        <v>0</v>
      </c>
      <c r="B10" s="810" t="str">
        <f>"-"</f>
        <v>-</v>
      </c>
      <c r="C10" s="811"/>
      <c r="D10" s="893">
        <v>0</v>
      </c>
      <c r="E10" s="812"/>
      <c r="F10" s="813" t="str">
        <f>"="</f>
        <v>=</v>
      </c>
      <c r="G10" s="814"/>
      <c r="H10" s="815">
        <f>IF(A10=0,0,D10-A10)</f>
        <v>0</v>
      </c>
      <c r="I10" s="518"/>
      <c r="J10" s="518"/>
      <c r="K10" s="518"/>
    </row>
    <row r="11" spans="1:11" ht="15.75">
      <c r="A11" s="816"/>
      <c r="B11" s="817"/>
      <c r="C11" s="817"/>
      <c r="D11" s="816"/>
      <c r="E11" s="816"/>
      <c r="F11" s="817"/>
      <c r="G11" s="816"/>
      <c r="H11" s="518"/>
      <c r="I11" s="518"/>
      <c r="J11" s="518"/>
      <c r="K11" s="518"/>
    </row>
    <row r="12" spans="1:11" ht="16.5" thickBot="1">
      <c r="A12" s="818"/>
      <c r="B12" s="819"/>
      <c r="C12" s="819"/>
      <c r="D12" s="818"/>
      <c r="E12" s="818"/>
      <c r="F12" s="819"/>
      <c r="G12" s="818"/>
      <c r="H12" s="820"/>
      <c r="I12" s="820"/>
      <c r="J12" s="820"/>
      <c r="K12" s="820"/>
    </row>
    <row r="13" spans="1:11" ht="15.75">
      <c r="A13" s="821"/>
      <c r="B13" s="817"/>
      <c r="C13" s="817"/>
      <c r="D13" s="816"/>
      <c r="E13" s="816"/>
      <c r="F13" s="817"/>
      <c r="G13" s="816"/>
      <c r="H13" s="518"/>
      <c r="I13" s="518"/>
      <c r="J13" s="518"/>
      <c r="K13" s="518"/>
    </row>
    <row r="14" spans="1:11" ht="47.25">
      <c r="A14" s="822" t="s">
        <v>550</v>
      </c>
      <c r="B14" s="817"/>
      <c r="C14" s="817"/>
      <c r="D14" s="823" t="s">
        <v>551</v>
      </c>
      <c r="E14" s="816"/>
      <c r="F14" s="823" t="s">
        <v>552</v>
      </c>
      <c r="G14" s="824" t="s">
        <v>553</v>
      </c>
      <c r="H14" s="825" t="s">
        <v>554</v>
      </c>
      <c r="I14" s="823" t="s">
        <v>555</v>
      </c>
      <c r="J14" s="826"/>
      <c r="K14" s="823" t="s">
        <v>556</v>
      </c>
    </row>
    <row r="15" spans="1:11" ht="15.75">
      <c r="A15" s="822" t="s">
        <v>557</v>
      </c>
      <c r="B15" s="817"/>
      <c r="C15" s="817"/>
      <c r="D15" s="518"/>
      <c r="E15" s="827"/>
      <c r="F15" s="894">
        <v>2.96E-3</v>
      </c>
      <c r="H15" s="518"/>
      <c r="I15" s="518"/>
      <c r="J15" s="518"/>
      <c r="K15" s="518"/>
    </row>
    <row r="16" spans="1:11" ht="15.75">
      <c r="A16" s="822"/>
      <c r="B16" s="817"/>
      <c r="C16" s="817"/>
      <c r="D16" s="518"/>
      <c r="E16" s="827"/>
      <c r="F16" s="827"/>
      <c r="G16" s="816"/>
      <c r="H16" s="518"/>
      <c r="I16" s="518"/>
      <c r="J16" s="518"/>
      <c r="K16" s="518"/>
    </row>
    <row r="17" spans="1:11" ht="15.75">
      <c r="A17" s="822" t="s">
        <v>992</v>
      </c>
      <c r="B17" s="817"/>
      <c r="C17" s="817"/>
      <c r="D17" s="518"/>
      <c r="E17" s="827"/>
      <c r="F17" s="827"/>
      <c r="G17" s="816"/>
      <c r="H17" s="518"/>
      <c r="I17" s="518"/>
      <c r="J17" s="518"/>
      <c r="K17" s="518"/>
    </row>
    <row r="18" spans="1:11" ht="15.75">
      <c r="A18" s="828" t="s">
        <v>115</v>
      </c>
      <c r="B18" s="817"/>
      <c r="C18" s="817"/>
      <c r="D18" s="817"/>
      <c r="E18" s="817"/>
      <c r="F18" s="817" t="s">
        <v>115</v>
      </c>
      <c r="G18" s="518"/>
      <c r="H18" s="518"/>
      <c r="I18" s="518"/>
      <c r="J18" s="518"/>
      <c r="K18" s="518"/>
    </row>
    <row r="19" spans="1:11" ht="15.75">
      <c r="A19" s="829"/>
      <c r="B19" s="817"/>
      <c r="C19" s="817"/>
      <c r="D19" s="817"/>
      <c r="E19" s="817"/>
      <c r="F19" s="518"/>
      <c r="G19" s="518"/>
      <c r="H19" s="824"/>
      <c r="I19" s="817"/>
      <c r="J19" s="817"/>
      <c r="K19" s="817"/>
    </row>
    <row r="20" spans="1:11" ht="15.75">
      <c r="A20" s="829" t="s">
        <v>558</v>
      </c>
      <c r="B20" s="817"/>
      <c r="C20" s="817"/>
      <c r="D20" s="817"/>
      <c r="E20" s="817"/>
      <c r="F20" s="518"/>
      <c r="G20" s="518"/>
      <c r="H20" s="824" t="s">
        <v>559</v>
      </c>
      <c r="I20" s="817"/>
      <c r="J20" s="817"/>
      <c r="K20" s="817"/>
    </row>
    <row r="21" spans="1:11" ht="15.75">
      <c r="A21" s="806" t="s">
        <v>186</v>
      </c>
      <c r="B21" s="806" t="str">
        <f>"Year 2016"</f>
        <v>Year 2016</v>
      </c>
      <c r="C21" s="806"/>
      <c r="D21" s="830">
        <f>H10/12</f>
        <v>0</v>
      </c>
      <c r="E21" s="830"/>
      <c r="F21" s="831">
        <f>+F15</f>
        <v>2.96E-3</v>
      </c>
      <c r="G21" s="832">
        <v>12</v>
      </c>
      <c r="H21" s="830">
        <f>F21*D21*G21*-1</f>
        <v>0</v>
      </c>
      <c r="I21" s="830"/>
      <c r="J21" s="830"/>
      <c r="K21" s="830">
        <f>(-H21+D21)*-1</f>
        <v>0</v>
      </c>
    </row>
    <row r="22" spans="1:11" ht="15.75">
      <c r="A22" s="806" t="s">
        <v>560</v>
      </c>
      <c r="B22" s="806" t="str">
        <f>B21</f>
        <v>Year 2016</v>
      </c>
      <c r="C22" s="806"/>
      <c r="D22" s="830">
        <f>+D21</f>
        <v>0</v>
      </c>
      <c r="E22" s="830"/>
      <c r="F22" s="831">
        <f>+F21</f>
        <v>2.96E-3</v>
      </c>
      <c r="G22" s="832">
        <f t="shared" ref="G22:G32" si="0">+G21-1</f>
        <v>11</v>
      </c>
      <c r="H22" s="830">
        <f t="shared" ref="H22:H32" si="1">F22*D22*G22*-1</f>
        <v>0</v>
      </c>
      <c r="I22" s="830"/>
      <c r="J22" s="830"/>
      <c r="K22" s="830">
        <f t="shared" ref="K22:K32" si="2">(-H22+D22)*-1</f>
        <v>0</v>
      </c>
    </row>
    <row r="23" spans="1:11" ht="15.75">
      <c r="A23" s="806" t="s">
        <v>187</v>
      </c>
      <c r="B23" s="806" t="str">
        <f t="shared" ref="B23:B32" si="3">B22</f>
        <v>Year 2016</v>
      </c>
      <c r="C23" s="806"/>
      <c r="D23" s="830">
        <f t="shared" ref="D23:D32" si="4">+D22</f>
        <v>0</v>
      </c>
      <c r="E23" s="830"/>
      <c r="F23" s="831">
        <f t="shared" ref="F23:F32" si="5">+F22</f>
        <v>2.96E-3</v>
      </c>
      <c r="G23" s="832">
        <f t="shared" si="0"/>
        <v>10</v>
      </c>
      <c r="H23" s="830">
        <f t="shared" si="1"/>
        <v>0</v>
      </c>
      <c r="I23" s="830"/>
      <c r="J23" s="830"/>
      <c r="K23" s="830">
        <f t="shared" si="2"/>
        <v>0</v>
      </c>
    </row>
    <row r="24" spans="1:11" ht="15.75">
      <c r="A24" s="806" t="s">
        <v>188</v>
      </c>
      <c r="B24" s="806" t="str">
        <f t="shared" si="3"/>
        <v>Year 2016</v>
      </c>
      <c r="C24" s="806"/>
      <c r="D24" s="830">
        <f t="shared" si="4"/>
        <v>0</v>
      </c>
      <c r="E24" s="830"/>
      <c r="F24" s="831">
        <f t="shared" si="5"/>
        <v>2.96E-3</v>
      </c>
      <c r="G24" s="832">
        <f t="shared" si="0"/>
        <v>9</v>
      </c>
      <c r="H24" s="830">
        <f t="shared" si="1"/>
        <v>0</v>
      </c>
      <c r="I24" s="830"/>
      <c r="J24" s="830"/>
      <c r="K24" s="830">
        <f t="shared" si="2"/>
        <v>0</v>
      </c>
    </row>
    <row r="25" spans="1:11" ht="15.75">
      <c r="A25" s="806" t="s">
        <v>189</v>
      </c>
      <c r="B25" s="806" t="str">
        <f t="shared" si="3"/>
        <v>Year 2016</v>
      </c>
      <c r="C25" s="806"/>
      <c r="D25" s="830">
        <f t="shared" si="4"/>
        <v>0</v>
      </c>
      <c r="E25" s="830"/>
      <c r="F25" s="831">
        <f t="shared" si="5"/>
        <v>2.96E-3</v>
      </c>
      <c r="G25" s="832">
        <f t="shared" si="0"/>
        <v>8</v>
      </c>
      <c r="H25" s="830">
        <f t="shared" si="1"/>
        <v>0</v>
      </c>
      <c r="I25" s="830"/>
      <c r="J25" s="830"/>
      <c r="K25" s="830">
        <f t="shared" si="2"/>
        <v>0</v>
      </c>
    </row>
    <row r="26" spans="1:11" ht="15.75">
      <c r="A26" s="806" t="s">
        <v>383</v>
      </c>
      <c r="B26" s="806" t="str">
        <f t="shared" si="3"/>
        <v>Year 2016</v>
      </c>
      <c r="C26" s="806"/>
      <c r="D26" s="830">
        <f t="shared" si="4"/>
        <v>0</v>
      </c>
      <c r="E26" s="830"/>
      <c r="F26" s="831">
        <f t="shared" si="5"/>
        <v>2.96E-3</v>
      </c>
      <c r="G26" s="832">
        <f t="shared" si="0"/>
        <v>7</v>
      </c>
      <c r="H26" s="830">
        <f t="shared" si="1"/>
        <v>0</v>
      </c>
      <c r="I26" s="830"/>
      <c r="J26" s="830"/>
      <c r="K26" s="830">
        <f t="shared" si="2"/>
        <v>0</v>
      </c>
    </row>
    <row r="27" spans="1:11" ht="15.75">
      <c r="A27" s="806" t="s">
        <v>190</v>
      </c>
      <c r="B27" s="806" t="str">
        <f t="shared" si="3"/>
        <v>Year 2016</v>
      </c>
      <c r="C27" s="806"/>
      <c r="D27" s="830">
        <f t="shared" si="4"/>
        <v>0</v>
      </c>
      <c r="E27" s="830"/>
      <c r="F27" s="831">
        <f t="shared" si="5"/>
        <v>2.96E-3</v>
      </c>
      <c r="G27" s="832">
        <f t="shared" si="0"/>
        <v>6</v>
      </c>
      <c r="H27" s="830">
        <f t="shared" si="1"/>
        <v>0</v>
      </c>
      <c r="I27" s="830"/>
      <c r="J27" s="830"/>
      <c r="K27" s="830">
        <f t="shared" si="2"/>
        <v>0</v>
      </c>
    </row>
    <row r="28" spans="1:11" ht="15.75">
      <c r="A28" s="806" t="s">
        <v>191</v>
      </c>
      <c r="B28" s="806" t="str">
        <f t="shared" si="3"/>
        <v>Year 2016</v>
      </c>
      <c r="C28" s="806"/>
      <c r="D28" s="830">
        <f t="shared" si="4"/>
        <v>0</v>
      </c>
      <c r="E28" s="830"/>
      <c r="F28" s="831">
        <f t="shared" si="5"/>
        <v>2.96E-3</v>
      </c>
      <c r="G28" s="832">
        <f t="shared" si="0"/>
        <v>5</v>
      </c>
      <c r="H28" s="830">
        <f t="shared" si="1"/>
        <v>0</v>
      </c>
      <c r="I28" s="830"/>
      <c r="J28" s="830"/>
      <c r="K28" s="830">
        <f t="shared" si="2"/>
        <v>0</v>
      </c>
    </row>
    <row r="29" spans="1:11" ht="15.75">
      <c r="A29" s="806" t="s">
        <v>193</v>
      </c>
      <c r="B29" s="806" t="str">
        <f t="shared" si="3"/>
        <v>Year 2016</v>
      </c>
      <c r="C29" s="806"/>
      <c r="D29" s="830">
        <f t="shared" si="4"/>
        <v>0</v>
      </c>
      <c r="E29" s="830"/>
      <c r="F29" s="831">
        <f t="shared" si="5"/>
        <v>2.96E-3</v>
      </c>
      <c r="G29" s="832">
        <f t="shared" si="0"/>
        <v>4</v>
      </c>
      <c r="H29" s="830">
        <f t="shared" si="1"/>
        <v>0</v>
      </c>
      <c r="I29" s="830"/>
      <c r="J29" s="830"/>
      <c r="K29" s="830">
        <f t="shared" si="2"/>
        <v>0</v>
      </c>
    </row>
    <row r="30" spans="1:11" ht="15.75">
      <c r="A30" s="806" t="s">
        <v>561</v>
      </c>
      <c r="B30" s="806" t="str">
        <f t="shared" si="3"/>
        <v>Year 2016</v>
      </c>
      <c r="C30" s="806"/>
      <c r="D30" s="830">
        <f t="shared" si="4"/>
        <v>0</v>
      </c>
      <c r="E30" s="830"/>
      <c r="F30" s="831">
        <f t="shared" si="5"/>
        <v>2.96E-3</v>
      </c>
      <c r="G30" s="832">
        <f t="shared" si="0"/>
        <v>3</v>
      </c>
      <c r="H30" s="830">
        <f t="shared" si="1"/>
        <v>0</v>
      </c>
      <c r="I30" s="830"/>
      <c r="J30" s="830"/>
      <c r="K30" s="830">
        <f t="shared" si="2"/>
        <v>0</v>
      </c>
    </row>
    <row r="31" spans="1:11" ht="15.75">
      <c r="A31" s="806" t="s">
        <v>562</v>
      </c>
      <c r="B31" s="806" t="str">
        <f t="shared" si="3"/>
        <v>Year 2016</v>
      </c>
      <c r="C31" s="806"/>
      <c r="D31" s="830">
        <f t="shared" si="4"/>
        <v>0</v>
      </c>
      <c r="E31" s="830"/>
      <c r="F31" s="831">
        <f t="shared" si="5"/>
        <v>2.96E-3</v>
      </c>
      <c r="G31" s="832">
        <f t="shared" si="0"/>
        <v>2</v>
      </c>
      <c r="H31" s="830">
        <f t="shared" si="1"/>
        <v>0</v>
      </c>
      <c r="I31" s="830"/>
      <c r="J31" s="830"/>
      <c r="K31" s="830">
        <f t="shared" si="2"/>
        <v>0</v>
      </c>
    </row>
    <row r="32" spans="1:11" ht="15.75">
      <c r="A32" s="806" t="s">
        <v>192</v>
      </c>
      <c r="B32" s="806" t="str">
        <f t="shared" si="3"/>
        <v>Year 2016</v>
      </c>
      <c r="C32" s="806"/>
      <c r="D32" s="830">
        <f t="shared" si="4"/>
        <v>0</v>
      </c>
      <c r="E32" s="830"/>
      <c r="F32" s="831">
        <f t="shared" si="5"/>
        <v>2.96E-3</v>
      </c>
      <c r="G32" s="832">
        <f t="shared" si="0"/>
        <v>1</v>
      </c>
      <c r="H32" s="833">
        <f t="shared" si="1"/>
        <v>0</v>
      </c>
      <c r="I32" s="830"/>
      <c r="J32" s="830"/>
      <c r="K32" s="830">
        <f t="shared" si="2"/>
        <v>0</v>
      </c>
    </row>
    <row r="33" spans="1:11" ht="15.75">
      <c r="A33" s="806"/>
      <c r="B33" s="806"/>
      <c r="C33" s="806"/>
      <c r="D33" s="830"/>
      <c r="E33" s="830"/>
      <c r="F33" s="831"/>
      <c r="G33" s="806"/>
      <c r="H33" s="830">
        <f>SUM(H21:H32)</f>
        <v>0</v>
      </c>
      <c r="I33" s="830"/>
      <c r="J33" s="830"/>
      <c r="K33" s="834">
        <f>SUM(K21:K32)</f>
        <v>0</v>
      </c>
    </row>
    <row r="34" spans="1:11" ht="15.75">
      <c r="A34" s="806"/>
      <c r="B34" s="806"/>
      <c r="C34" s="806"/>
      <c r="D34" s="830"/>
      <c r="E34" s="830"/>
      <c r="F34" s="831"/>
      <c r="G34" s="806"/>
      <c r="H34" s="830"/>
      <c r="I34" s="830" t="s">
        <v>115</v>
      </c>
      <c r="J34" s="830"/>
      <c r="K34" s="518"/>
    </row>
    <row r="35" spans="1:11" ht="15.75">
      <c r="A35" s="806"/>
      <c r="B35" s="806"/>
      <c r="C35" s="806"/>
      <c r="D35" s="816"/>
      <c r="E35" s="816"/>
      <c r="F35" s="831"/>
      <c r="G35" s="806"/>
      <c r="H35" s="835" t="s">
        <v>563</v>
      </c>
      <c r="I35" s="830"/>
      <c r="J35" s="830"/>
      <c r="K35" s="830"/>
    </row>
    <row r="36" spans="1:11" ht="15.75">
      <c r="A36" s="806" t="s">
        <v>564</v>
      </c>
      <c r="B36" s="806" t="str">
        <f>"Year 2017"</f>
        <v>Year 2017</v>
      </c>
      <c r="C36" s="806"/>
      <c r="D36" s="816">
        <f>K33</f>
        <v>0</v>
      </c>
      <c r="E36" s="816"/>
      <c r="F36" s="831">
        <f>+F32</f>
        <v>2.96E-3</v>
      </c>
      <c r="G36" s="832">
        <v>12</v>
      </c>
      <c r="H36" s="830">
        <f>+G36*F36*D36</f>
        <v>0</v>
      </c>
      <c r="I36" s="830"/>
      <c r="J36" s="830"/>
      <c r="K36" s="834">
        <f>+D36+H36</f>
        <v>0</v>
      </c>
    </row>
    <row r="37" spans="1:11" ht="15.75">
      <c r="A37" s="806"/>
      <c r="B37" s="806"/>
      <c r="C37" s="806"/>
      <c r="D37" s="816"/>
      <c r="E37" s="816"/>
      <c r="F37" s="831"/>
      <c r="G37" s="806"/>
      <c r="H37" s="830"/>
      <c r="I37" s="830"/>
      <c r="J37" s="830"/>
      <c r="K37" s="830"/>
    </row>
    <row r="38" spans="1:11" ht="15.75">
      <c r="A38" s="836" t="s">
        <v>565</v>
      </c>
      <c r="B38" s="806"/>
      <c r="C38" s="806"/>
      <c r="D38" s="830"/>
      <c r="E38" s="830"/>
      <c r="F38" s="831"/>
      <c r="G38" s="806"/>
      <c r="H38" s="835" t="s">
        <v>559</v>
      </c>
      <c r="I38" s="830"/>
      <c r="J38" s="830"/>
      <c r="K38" s="830"/>
    </row>
    <row r="39" spans="1:11" ht="15.75">
      <c r="A39" s="806" t="s">
        <v>186</v>
      </c>
      <c r="B39" s="806" t="str">
        <f>"Year 2018"</f>
        <v>Year 2018</v>
      </c>
      <c r="C39" s="806"/>
      <c r="D39" s="816">
        <f>-K36</f>
        <v>0</v>
      </c>
      <c r="E39" s="816"/>
      <c r="F39" s="831">
        <f>+F32</f>
        <v>2.96E-3</v>
      </c>
      <c r="G39" s="806"/>
      <c r="H39" s="830">
        <f xml:space="preserve"> -F39*D39</f>
        <v>0</v>
      </c>
      <c r="I39" s="830">
        <f>PMT(F39,12,K$36)</f>
        <v>0</v>
      </c>
      <c r="J39" s="830"/>
      <c r="K39" s="830">
        <f>(+D39+D39*F39-I39)*-1</f>
        <v>0</v>
      </c>
    </row>
    <row r="40" spans="1:11" ht="15.75">
      <c r="A40" s="806" t="s">
        <v>560</v>
      </c>
      <c r="B40" s="806" t="str">
        <f>+B39</f>
        <v>Year 2018</v>
      </c>
      <c r="C40" s="806"/>
      <c r="D40" s="816">
        <f>-K39</f>
        <v>0</v>
      </c>
      <c r="E40" s="816"/>
      <c r="F40" s="831">
        <f>+F39</f>
        <v>2.96E-3</v>
      </c>
      <c r="G40" s="806"/>
      <c r="H40" s="830">
        <f xml:space="preserve"> -F40*D40</f>
        <v>0</v>
      </c>
      <c r="I40" s="830">
        <f>I39</f>
        <v>0</v>
      </c>
      <c r="J40" s="830"/>
      <c r="K40" s="830">
        <f t="shared" ref="K40:K50" si="6">(+D40+D40*F40-I40)*-1</f>
        <v>0</v>
      </c>
    </row>
    <row r="41" spans="1:11" ht="15.75">
      <c r="A41" s="806" t="s">
        <v>187</v>
      </c>
      <c r="B41" s="806" t="str">
        <f>+B40</f>
        <v>Year 2018</v>
      </c>
      <c r="C41" s="806"/>
      <c r="D41" s="816">
        <f t="shared" ref="D41:D50" si="7">-K40</f>
        <v>0</v>
      </c>
      <c r="E41" s="816"/>
      <c r="F41" s="831">
        <f t="shared" ref="F41:F50" si="8">+F40</f>
        <v>2.96E-3</v>
      </c>
      <c r="G41" s="806"/>
      <c r="H41" s="830">
        <f t="shared" ref="H41:H50" si="9" xml:space="preserve"> -F41*D41</f>
        <v>0</v>
      </c>
      <c r="I41" s="830">
        <f t="shared" ref="I41:I50" si="10">I40</f>
        <v>0</v>
      </c>
      <c r="J41" s="830"/>
      <c r="K41" s="830">
        <f t="shared" si="6"/>
        <v>0</v>
      </c>
    </row>
    <row r="42" spans="1:11" ht="15.75">
      <c r="A42" s="806" t="s">
        <v>188</v>
      </c>
      <c r="B42" s="806" t="str">
        <f>+B41</f>
        <v>Year 2018</v>
      </c>
      <c r="C42" s="806"/>
      <c r="D42" s="816">
        <f t="shared" si="7"/>
        <v>0</v>
      </c>
      <c r="E42" s="816"/>
      <c r="F42" s="831">
        <f t="shared" si="8"/>
        <v>2.96E-3</v>
      </c>
      <c r="G42" s="806"/>
      <c r="H42" s="830">
        <f t="shared" si="9"/>
        <v>0</v>
      </c>
      <c r="I42" s="830">
        <f t="shared" si="10"/>
        <v>0</v>
      </c>
      <c r="J42" s="830"/>
      <c r="K42" s="830">
        <f t="shared" si="6"/>
        <v>0</v>
      </c>
    </row>
    <row r="43" spans="1:11" ht="15.75">
      <c r="A43" s="806" t="s">
        <v>189</v>
      </c>
      <c r="B43" s="806" t="str">
        <f>+B42</f>
        <v>Year 2018</v>
      </c>
      <c r="C43" s="806"/>
      <c r="D43" s="816">
        <f t="shared" si="7"/>
        <v>0</v>
      </c>
      <c r="E43" s="816"/>
      <c r="F43" s="831">
        <f t="shared" si="8"/>
        <v>2.96E-3</v>
      </c>
      <c r="G43" s="806"/>
      <c r="H43" s="830">
        <f t="shared" si="9"/>
        <v>0</v>
      </c>
      <c r="I43" s="830">
        <f>I42</f>
        <v>0</v>
      </c>
      <c r="J43" s="830"/>
      <c r="K43" s="830">
        <f t="shared" si="6"/>
        <v>0</v>
      </c>
    </row>
    <row r="44" spans="1:11" ht="15.75">
      <c r="A44" s="806" t="s">
        <v>383</v>
      </c>
      <c r="B44" s="806" t="str">
        <f>B43</f>
        <v>Year 2018</v>
      </c>
      <c r="C44" s="518"/>
      <c r="D44" s="816">
        <f t="shared" si="7"/>
        <v>0</v>
      </c>
      <c r="E44" s="816"/>
      <c r="F44" s="831">
        <f t="shared" si="8"/>
        <v>2.96E-3</v>
      </c>
      <c r="G44" s="806"/>
      <c r="H44" s="830">
        <f t="shared" si="9"/>
        <v>0</v>
      </c>
      <c r="I44" s="830">
        <f t="shared" si="10"/>
        <v>0</v>
      </c>
      <c r="J44" s="830"/>
      <c r="K44" s="830">
        <f t="shared" si="6"/>
        <v>0</v>
      </c>
    </row>
    <row r="45" spans="1:11" ht="15.75">
      <c r="A45" s="806" t="s">
        <v>190</v>
      </c>
      <c r="B45" s="806" t="str">
        <f t="shared" ref="B45:B50" si="11">+B44</f>
        <v>Year 2018</v>
      </c>
      <c r="C45" s="806"/>
      <c r="D45" s="816">
        <f t="shared" si="7"/>
        <v>0</v>
      </c>
      <c r="E45" s="816"/>
      <c r="F45" s="831">
        <f t="shared" si="8"/>
        <v>2.96E-3</v>
      </c>
      <c r="G45" s="806"/>
      <c r="H45" s="830">
        <f t="shared" si="9"/>
        <v>0</v>
      </c>
      <c r="I45" s="830">
        <f t="shared" si="10"/>
        <v>0</v>
      </c>
      <c r="J45" s="830"/>
      <c r="K45" s="830">
        <f t="shared" si="6"/>
        <v>0</v>
      </c>
    </row>
    <row r="46" spans="1:11" ht="15.75">
      <c r="A46" s="806" t="s">
        <v>191</v>
      </c>
      <c r="B46" s="806" t="str">
        <f t="shared" si="11"/>
        <v>Year 2018</v>
      </c>
      <c r="C46" s="806"/>
      <c r="D46" s="816">
        <f t="shared" si="7"/>
        <v>0</v>
      </c>
      <c r="E46" s="816"/>
      <c r="F46" s="831">
        <f t="shared" si="8"/>
        <v>2.96E-3</v>
      </c>
      <c r="G46" s="806"/>
      <c r="H46" s="830">
        <f t="shared" si="9"/>
        <v>0</v>
      </c>
      <c r="I46" s="830">
        <f t="shared" si="10"/>
        <v>0</v>
      </c>
      <c r="J46" s="830"/>
      <c r="K46" s="830">
        <f t="shared" si="6"/>
        <v>0</v>
      </c>
    </row>
    <row r="47" spans="1:11" ht="15.75">
      <c r="A47" s="806" t="s">
        <v>193</v>
      </c>
      <c r="B47" s="806" t="str">
        <f t="shared" si="11"/>
        <v>Year 2018</v>
      </c>
      <c r="C47" s="806"/>
      <c r="D47" s="816">
        <f t="shared" si="7"/>
        <v>0</v>
      </c>
      <c r="E47" s="816"/>
      <c r="F47" s="831">
        <f t="shared" si="8"/>
        <v>2.96E-3</v>
      </c>
      <c r="G47" s="806"/>
      <c r="H47" s="830">
        <f t="shared" si="9"/>
        <v>0</v>
      </c>
      <c r="I47" s="830">
        <f>I46</f>
        <v>0</v>
      </c>
      <c r="J47" s="830"/>
      <c r="K47" s="830">
        <f t="shared" si="6"/>
        <v>0</v>
      </c>
    </row>
    <row r="48" spans="1:11" ht="15.75">
      <c r="A48" s="806" t="s">
        <v>561</v>
      </c>
      <c r="B48" s="806" t="str">
        <f t="shared" si="11"/>
        <v>Year 2018</v>
      </c>
      <c r="C48" s="806"/>
      <c r="D48" s="816">
        <f t="shared" si="7"/>
        <v>0</v>
      </c>
      <c r="E48" s="816"/>
      <c r="F48" s="831">
        <f t="shared" si="8"/>
        <v>2.96E-3</v>
      </c>
      <c r="G48" s="806"/>
      <c r="H48" s="830">
        <f t="shared" si="9"/>
        <v>0</v>
      </c>
      <c r="I48" s="830">
        <f t="shared" si="10"/>
        <v>0</v>
      </c>
      <c r="J48" s="830"/>
      <c r="K48" s="830">
        <f t="shared" si="6"/>
        <v>0</v>
      </c>
    </row>
    <row r="49" spans="1:11" ht="15.75">
      <c r="A49" s="806" t="s">
        <v>562</v>
      </c>
      <c r="B49" s="806" t="str">
        <f t="shared" si="11"/>
        <v>Year 2018</v>
      </c>
      <c r="C49" s="806"/>
      <c r="D49" s="816">
        <f t="shared" si="7"/>
        <v>0</v>
      </c>
      <c r="E49" s="816"/>
      <c r="F49" s="831">
        <f t="shared" si="8"/>
        <v>2.96E-3</v>
      </c>
      <c r="G49" s="806"/>
      <c r="H49" s="830">
        <f t="shared" si="9"/>
        <v>0</v>
      </c>
      <c r="I49" s="830">
        <f t="shared" si="10"/>
        <v>0</v>
      </c>
      <c r="J49" s="830"/>
      <c r="K49" s="830">
        <f t="shared" si="6"/>
        <v>0</v>
      </c>
    </row>
    <row r="50" spans="1:11" ht="15.75">
      <c r="A50" s="806" t="s">
        <v>192</v>
      </c>
      <c r="B50" s="806" t="str">
        <f t="shared" si="11"/>
        <v>Year 2018</v>
      </c>
      <c r="C50" s="806"/>
      <c r="D50" s="816">
        <f t="shared" si="7"/>
        <v>0</v>
      </c>
      <c r="E50" s="816"/>
      <c r="F50" s="831">
        <f t="shared" si="8"/>
        <v>2.96E-3</v>
      </c>
      <c r="G50" s="806"/>
      <c r="H50" s="833">
        <f t="shared" si="9"/>
        <v>0</v>
      </c>
      <c r="I50" s="830">
        <f t="shared" si="10"/>
        <v>0</v>
      </c>
      <c r="J50" s="830"/>
      <c r="K50" s="830">
        <f t="shared" si="6"/>
        <v>0</v>
      </c>
    </row>
    <row r="51" spans="1:11" ht="15.75">
      <c r="A51" s="806"/>
      <c r="B51" s="806"/>
      <c r="C51" s="806"/>
      <c r="D51" s="816"/>
      <c r="E51" s="816"/>
      <c r="F51" s="831"/>
      <c r="G51" s="806"/>
      <c r="H51" s="830">
        <f>SUM(H39:H50)</f>
        <v>0</v>
      </c>
      <c r="I51" s="830"/>
      <c r="J51" s="830"/>
      <c r="K51" s="830"/>
    </row>
    <row r="52" spans="1:11" ht="15">
      <c r="A52" s="518"/>
      <c r="B52" s="518"/>
      <c r="C52" s="518"/>
      <c r="D52" s="518"/>
      <c r="E52" s="518"/>
      <c r="F52" s="518"/>
      <c r="G52" s="518"/>
      <c r="H52" s="518"/>
      <c r="I52" s="837"/>
      <c r="J52" s="518"/>
      <c r="K52" s="518"/>
    </row>
    <row r="53" spans="1:11" ht="15.75">
      <c r="A53" s="806" t="s">
        <v>570</v>
      </c>
      <c r="B53" s="518"/>
      <c r="C53" s="518"/>
      <c r="D53" s="518"/>
      <c r="E53" s="518"/>
      <c r="F53" s="518"/>
      <c r="G53" s="518"/>
      <c r="H53" s="518"/>
      <c r="I53" s="838">
        <f>(SUM(I39:I50)*-1)</f>
        <v>0</v>
      </c>
      <c r="J53" s="518"/>
      <c r="K53" s="518"/>
    </row>
    <row r="54" spans="1:11" ht="15.75">
      <c r="A54" s="806" t="s">
        <v>566</v>
      </c>
      <c r="B54" s="518"/>
      <c r="C54" s="518"/>
      <c r="D54" s="518"/>
      <c r="E54" s="518"/>
      <c r="F54" s="518"/>
      <c r="G54" s="518"/>
      <c r="H54" s="518"/>
      <c r="I54" s="839">
        <f>+H10</f>
        <v>0</v>
      </c>
      <c r="J54" s="518"/>
      <c r="K54" s="518"/>
    </row>
    <row r="55" spans="1:11" ht="15.75">
      <c r="A55" s="806" t="s">
        <v>567</v>
      </c>
      <c r="B55" s="518"/>
      <c r="C55" s="518"/>
      <c r="D55" s="518"/>
      <c r="E55" s="518"/>
      <c r="F55" s="518"/>
      <c r="G55" s="518"/>
      <c r="H55" s="518"/>
      <c r="I55" s="838">
        <f>(I53+I54)</f>
        <v>0</v>
      </c>
      <c r="J55" s="518"/>
      <c r="K55" s="518"/>
    </row>
    <row r="56" spans="1:11">
      <c r="A56" s="415"/>
      <c r="B56" s="415"/>
      <c r="C56" s="415"/>
      <c r="D56" s="415"/>
      <c r="E56" s="415"/>
      <c r="F56" s="415"/>
      <c r="G56" s="415"/>
      <c r="H56" s="415"/>
      <c r="I56" s="415"/>
      <c r="J56" s="415"/>
      <c r="K56" s="415"/>
    </row>
    <row r="57" spans="1:11" ht="126.75" customHeight="1">
      <c r="A57" s="1492" t="s">
        <v>571</v>
      </c>
      <c r="B57" s="1492"/>
      <c r="C57" s="1492"/>
      <c r="D57" s="1492"/>
      <c r="E57" s="840"/>
      <c r="F57" s="840"/>
      <c r="G57" s="840"/>
      <c r="H57" s="840"/>
      <c r="I57" s="840"/>
      <c r="J57" s="840"/>
      <c r="K57" s="840"/>
    </row>
  </sheetData>
  <mergeCells count="5">
    <mergeCell ref="A3:K3"/>
    <mergeCell ref="A1:K1"/>
    <mergeCell ref="A2:K2"/>
    <mergeCell ref="D4:G4"/>
    <mergeCell ref="A57:D57"/>
  </mergeCells>
  <pageMargins left="0.7" right="0.7" top="0.75" bottom="0.75" header="0.3" footer="0.3"/>
  <pageSetup scale="5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46" zoomScale="60" zoomScaleNormal="100" workbookViewId="0">
      <selection activeCell="D11" sqref="D11"/>
    </sheetView>
  </sheetViews>
  <sheetFormatPr defaultRowHeight="12.75"/>
  <cols>
    <col min="1" max="1" width="27" customWidth="1"/>
    <col min="4" max="4" width="27" customWidth="1"/>
    <col min="6" max="6" width="13.140625" customWidth="1"/>
    <col min="8" max="8" width="21.5703125" customWidth="1"/>
    <col min="9" max="9" width="14.85546875" customWidth="1"/>
    <col min="11" max="11" width="18.5703125" customWidth="1"/>
  </cols>
  <sheetData>
    <row r="1" spans="1:11" ht="15.75">
      <c r="A1" s="1491" t="s">
        <v>388</v>
      </c>
      <c r="B1" s="1491"/>
      <c r="C1" s="1491"/>
      <c r="D1" s="1491"/>
      <c r="E1" s="1491"/>
      <c r="F1" s="1491"/>
      <c r="G1" s="1491"/>
      <c r="H1" s="1491"/>
      <c r="I1" s="1491"/>
      <c r="J1" s="1491"/>
      <c r="K1" s="1491"/>
    </row>
    <row r="2" spans="1:11" ht="15.75">
      <c r="A2" s="1490" t="s">
        <v>568</v>
      </c>
      <c r="B2" s="1490"/>
      <c r="C2" s="1490"/>
      <c r="D2" s="1490"/>
      <c r="E2" s="1490"/>
      <c r="F2" s="1490"/>
      <c r="G2" s="1490"/>
      <c r="H2" s="1490"/>
      <c r="I2" s="1490"/>
      <c r="J2" s="1490"/>
      <c r="K2" s="1490"/>
    </row>
    <row r="3" spans="1:11" ht="15.75">
      <c r="A3" s="1490" t="s">
        <v>569</v>
      </c>
      <c r="B3" s="1490"/>
      <c r="C3" s="1490"/>
      <c r="D3" s="1490"/>
      <c r="E3" s="1490"/>
      <c r="F3" s="1490"/>
      <c r="G3" s="1490"/>
      <c r="H3" s="1490"/>
      <c r="I3" s="1490"/>
      <c r="J3" s="1490"/>
      <c r="K3" s="1490"/>
    </row>
    <row r="4" spans="1:11" ht="15.75">
      <c r="A4" s="518"/>
      <c r="B4" s="518"/>
      <c r="C4" s="518"/>
      <c r="D4" s="1490"/>
      <c r="E4" s="1490"/>
      <c r="F4" s="1490"/>
      <c r="G4" s="1490"/>
      <c r="H4" s="518"/>
      <c r="I4" s="518"/>
      <c r="J4" s="518"/>
      <c r="K4" s="518"/>
    </row>
    <row r="5" spans="1:11">
      <c r="A5" s="415"/>
      <c r="B5" s="415"/>
      <c r="C5" s="415"/>
      <c r="D5" s="415"/>
      <c r="E5" s="415"/>
      <c r="F5" s="415"/>
      <c r="G5" s="415"/>
      <c r="H5" s="415"/>
      <c r="I5" s="415"/>
      <c r="J5" s="415"/>
      <c r="K5" s="415"/>
    </row>
    <row r="6" spans="1:11">
      <c r="A6" s="415"/>
      <c r="B6" s="415"/>
      <c r="C6" s="415"/>
      <c r="D6" s="415"/>
      <c r="E6" s="415"/>
      <c r="F6" s="415"/>
      <c r="G6" s="415"/>
      <c r="H6" s="415"/>
      <c r="I6" s="415"/>
      <c r="J6" s="415"/>
      <c r="K6" s="415"/>
    </row>
    <row r="7" spans="1:11" ht="16.5" thickBot="1">
      <c r="A7" s="805"/>
      <c r="B7" s="806"/>
      <c r="C7" s="806"/>
      <c r="D7" s="806"/>
      <c r="E7" s="806"/>
      <c r="F7" s="806"/>
      <c r="G7" s="806"/>
      <c r="H7" s="806"/>
      <c r="I7" s="806"/>
      <c r="J7" s="806"/>
      <c r="K7" s="806"/>
    </row>
    <row r="8" spans="1:11" ht="47.25">
      <c r="A8" s="807" t="str">
        <f>"Reconciliation Revenue Requirement For Year 2016 Available May 25, 2017"</f>
        <v>Reconciliation Revenue Requirement For Year 2016 Available May 25, 2017</v>
      </c>
      <c r="B8" s="806"/>
      <c r="C8" s="806"/>
      <c r="D8" s="807" t="s">
        <v>991</v>
      </c>
      <c r="E8" s="806"/>
      <c r="F8" s="806"/>
      <c r="G8" s="518"/>
      <c r="H8" s="807" t="s">
        <v>549</v>
      </c>
      <c r="I8" s="518"/>
      <c r="J8" s="518"/>
      <c r="K8" s="518"/>
    </row>
    <row r="9" spans="1:11" ht="15.75">
      <c r="A9" s="808" t="s">
        <v>115</v>
      </c>
      <c r="B9" s="806"/>
      <c r="C9" s="806"/>
      <c r="D9" s="808"/>
      <c r="E9" s="806"/>
      <c r="F9" s="806"/>
      <c r="G9" s="518"/>
      <c r="H9" s="809"/>
      <c r="I9" s="518"/>
      <c r="J9" s="518"/>
      <c r="K9" s="518"/>
    </row>
    <row r="10" spans="1:11" ht="16.5" thickBot="1">
      <c r="A10" s="893">
        <v>0</v>
      </c>
      <c r="B10" s="810" t="str">
        <f>"-"</f>
        <v>-</v>
      </c>
      <c r="C10" s="811"/>
      <c r="D10" s="893">
        <v>0</v>
      </c>
      <c r="E10" s="812"/>
      <c r="F10" s="813" t="str">
        <f>"="</f>
        <v>=</v>
      </c>
      <c r="G10" s="814"/>
      <c r="H10" s="815">
        <f>IF(A10=0,0,D10-A10)</f>
        <v>0</v>
      </c>
      <c r="I10" s="518"/>
      <c r="J10" s="518"/>
      <c r="K10" s="518"/>
    </row>
    <row r="11" spans="1:11" ht="15.75">
      <c r="A11" s="816"/>
      <c r="B11" s="817"/>
      <c r="C11" s="817"/>
      <c r="D11" s="816"/>
      <c r="E11" s="816"/>
      <c r="F11" s="817"/>
      <c r="G11" s="816"/>
      <c r="H11" s="518"/>
      <c r="I11" s="518"/>
      <c r="J11" s="518"/>
      <c r="K11" s="518"/>
    </row>
    <row r="12" spans="1:11" ht="16.5" thickBot="1">
      <c r="A12" s="818"/>
      <c r="B12" s="819"/>
      <c r="C12" s="819"/>
      <c r="D12" s="818"/>
      <c r="E12" s="818"/>
      <c r="F12" s="819"/>
      <c r="G12" s="818"/>
      <c r="H12" s="820"/>
      <c r="I12" s="820"/>
      <c r="J12" s="820"/>
      <c r="K12" s="820"/>
    </row>
    <row r="13" spans="1:11" ht="15.75">
      <c r="A13" s="821"/>
      <c r="B13" s="817"/>
      <c r="C13" s="817"/>
      <c r="D13" s="816"/>
      <c r="E13" s="816"/>
      <c r="F13" s="817"/>
      <c r="G13" s="816"/>
      <c r="H13" s="518"/>
      <c r="I13" s="518"/>
      <c r="J13" s="518"/>
      <c r="K13" s="518"/>
    </row>
    <row r="14" spans="1:11" ht="47.25">
      <c r="A14" s="822" t="s">
        <v>550</v>
      </c>
      <c r="B14" s="817"/>
      <c r="C14" s="817"/>
      <c r="D14" s="823" t="s">
        <v>551</v>
      </c>
      <c r="E14" s="816"/>
      <c r="F14" s="823" t="s">
        <v>552</v>
      </c>
      <c r="G14" s="824" t="s">
        <v>553</v>
      </c>
      <c r="H14" s="825" t="s">
        <v>554</v>
      </c>
      <c r="I14" s="823" t="s">
        <v>555</v>
      </c>
      <c r="J14" s="826"/>
      <c r="K14" s="823" t="s">
        <v>556</v>
      </c>
    </row>
    <row r="15" spans="1:11" ht="15.75">
      <c r="A15" s="822" t="s">
        <v>557</v>
      </c>
      <c r="B15" s="817"/>
      <c r="C15" s="817"/>
      <c r="D15" s="518"/>
      <c r="E15" s="827"/>
      <c r="F15" s="1256">
        <v>2.96E-3</v>
      </c>
      <c r="G15" s="334"/>
      <c r="H15" s="518"/>
      <c r="I15" s="518"/>
      <c r="J15" s="518"/>
      <c r="K15" s="518"/>
    </row>
    <row r="16" spans="1:11" ht="15.75">
      <c r="A16" s="822"/>
      <c r="B16" s="817"/>
      <c r="C16" s="817"/>
      <c r="D16" s="518"/>
      <c r="E16" s="827"/>
      <c r="F16" s="827"/>
      <c r="G16" s="816"/>
      <c r="H16" s="518"/>
      <c r="I16" s="518"/>
      <c r="J16" s="518"/>
      <c r="K16" s="518"/>
    </row>
    <row r="17" spans="1:11" ht="15.75">
      <c r="A17" s="822" t="s">
        <v>992</v>
      </c>
      <c r="B17" s="817"/>
      <c r="C17" s="817"/>
      <c r="D17" s="518"/>
      <c r="E17" s="827"/>
      <c r="F17" s="827"/>
      <c r="G17" s="816"/>
      <c r="H17" s="518"/>
      <c r="I17" s="518"/>
      <c r="J17" s="518"/>
      <c r="K17" s="518"/>
    </row>
    <row r="18" spans="1:11" ht="15.75">
      <c r="A18" s="828" t="s">
        <v>115</v>
      </c>
      <c r="B18" s="817"/>
      <c r="C18" s="817"/>
      <c r="D18" s="817"/>
      <c r="E18" s="817"/>
      <c r="F18" s="817" t="s">
        <v>115</v>
      </c>
      <c r="G18" s="518"/>
      <c r="H18" s="518"/>
      <c r="I18" s="518"/>
      <c r="J18" s="518"/>
      <c r="K18" s="518"/>
    </row>
    <row r="19" spans="1:11" ht="15.75">
      <c r="A19" s="829"/>
      <c r="B19" s="817"/>
      <c r="C19" s="817"/>
      <c r="D19" s="817"/>
      <c r="E19" s="817"/>
      <c r="F19" s="518"/>
      <c r="G19" s="518"/>
      <c r="H19" s="824"/>
      <c r="I19" s="817"/>
      <c r="J19" s="817"/>
      <c r="K19" s="817"/>
    </row>
    <row r="20" spans="1:11" ht="15.75">
      <c r="A20" s="829" t="s">
        <v>558</v>
      </c>
      <c r="B20" s="817"/>
      <c r="C20" s="817"/>
      <c r="D20" s="817"/>
      <c r="E20" s="817"/>
      <c r="F20" s="518"/>
      <c r="G20" s="518"/>
      <c r="H20" s="824" t="s">
        <v>559</v>
      </c>
      <c r="I20" s="817"/>
      <c r="J20" s="817"/>
      <c r="K20" s="817"/>
    </row>
    <row r="21" spans="1:11" ht="15.75">
      <c r="A21" s="806" t="s">
        <v>186</v>
      </c>
      <c r="B21" s="806" t="str">
        <f>"Year 2016"</f>
        <v>Year 2016</v>
      </c>
      <c r="C21" s="806"/>
      <c r="D21" s="830">
        <f>H10/12</f>
        <v>0</v>
      </c>
      <c r="E21" s="830"/>
      <c r="F21" s="831">
        <f>+F15</f>
        <v>2.96E-3</v>
      </c>
      <c r="G21" s="832">
        <v>12</v>
      </c>
      <c r="H21" s="830">
        <f>F21*D21*G21*-1</f>
        <v>0</v>
      </c>
      <c r="I21" s="830"/>
      <c r="J21" s="830"/>
      <c r="K21" s="830">
        <f>(-H21+D21)*-1</f>
        <v>0</v>
      </c>
    </row>
    <row r="22" spans="1:11" ht="15.75">
      <c r="A22" s="806" t="s">
        <v>560</v>
      </c>
      <c r="B22" s="806" t="str">
        <f>B21</f>
        <v>Year 2016</v>
      </c>
      <c r="C22" s="806"/>
      <c r="D22" s="830">
        <f>+D21</f>
        <v>0</v>
      </c>
      <c r="E22" s="830"/>
      <c r="F22" s="831">
        <f>+F21</f>
        <v>2.96E-3</v>
      </c>
      <c r="G22" s="832">
        <f t="shared" ref="G22:G32" si="0">+G21-1</f>
        <v>11</v>
      </c>
      <c r="H22" s="830">
        <f t="shared" ref="H22:H32" si="1">F22*D22*G22*-1</f>
        <v>0</v>
      </c>
      <c r="I22" s="830"/>
      <c r="J22" s="830"/>
      <c r="K22" s="830">
        <f t="shared" ref="K22:K32" si="2">(-H22+D22)*-1</f>
        <v>0</v>
      </c>
    </row>
    <row r="23" spans="1:11" ht="15.75">
      <c r="A23" s="806" t="s">
        <v>187</v>
      </c>
      <c r="B23" s="806" t="str">
        <f t="shared" ref="B23:B32" si="3">B22</f>
        <v>Year 2016</v>
      </c>
      <c r="C23" s="806"/>
      <c r="D23" s="830">
        <f t="shared" ref="D23:D32" si="4">+D22</f>
        <v>0</v>
      </c>
      <c r="E23" s="830"/>
      <c r="F23" s="831">
        <f t="shared" ref="F23:F32" si="5">+F22</f>
        <v>2.96E-3</v>
      </c>
      <c r="G23" s="832">
        <f t="shared" si="0"/>
        <v>10</v>
      </c>
      <c r="H23" s="830">
        <f t="shared" si="1"/>
        <v>0</v>
      </c>
      <c r="I23" s="830"/>
      <c r="J23" s="830"/>
      <c r="K23" s="830">
        <f t="shared" si="2"/>
        <v>0</v>
      </c>
    </row>
    <row r="24" spans="1:11" ht="15.75">
      <c r="A24" s="806" t="s">
        <v>188</v>
      </c>
      <c r="B24" s="806" t="str">
        <f t="shared" si="3"/>
        <v>Year 2016</v>
      </c>
      <c r="C24" s="806"/>
      <c r="D24" s="830">
        <f t="shared" si="4"/>
        <v>0</v>
      </c>
      <c r="E24" s="830"/>
      <c r="F24" s="831">
        <f t="shared" si="5"/>
        <v>2.96E-3</v>
      </c>
      <c r="G24" s="832">
        <f t="shared" si="0"/>
        <v>9</v>
      </c>
      <c r="H24" s="830">
        <f t="shared" si="1"/>
        <v>0</v>
      </c>
      <c r="I24" s="830"/>
      <c r="J24" s="830"/>
      <c r="K24" s="830">
        <f t="shared" si="2"/>
        <v>0</v>
      </c>
    </row>
    <row r="25" spans="1:11" ht="15.75">
      <c r="A25" s="806" t="s">
        <v>189</v>
      </c>
      <c r="B25" s="806" t="str">
        <f t="shared" si="3"/>
        <v>Year 2016</v>
      </c>
      <c r="C25" s="806"/>
      <c r="D25" s="830">
        <f t="shared" si="4"/>
        <v>0</v>
      </c>
      <c r="E25" s="830"/>
      <c r="F25" s="831">
        <f t="shared" si="5"/>
        <v>2.96E-3</v>
      </c>
      <c r="G25" s="832">
        <f t="shared" si="0"/>
        <v>8</v>
      </c>
      <c r="H25" s="830">
        <f t="shared" si="1"/>
        <v>0</v>
      </c>
      <c r="I25" s="830"/>
      <c r="J25" s="830"/>
      <c r="K25" s="830">
        <f t="shared" si="2"/>
        <v>0</v>
      </c>
    </row>
    <row r="26" spans="1:11" ht="15.75">
      <c r="A26" s="806" t="s">
        <v>383</v>
      </c>
      <c r="B26" s="806" t="str">
        <f t="shared" si="3"/>
        <v>Year 2016</v>
      </c>
      <c r="C26" s="806"/>
      <c r="D26" s="830">
        <f t="shared" si="4"/>
        <v>0</v>
      </c>
      <c r="E26" s="830"/>
      <c r="F26" s="831">
        <f t="shared" si="5"/>
        <v>2.96E-3</v>
      </c>
      <c r="G26" s="832">
        <f t="shared" si="0"/>
        <v>7</v>
      </c>
      <c r="H26" s="830">
        <f t="shared" si="1"/>
        <v>0</v>
      </c>
      <c r="I26" s="830"/>
      <c r="J26" s="830"/>
      <c r="K26" s="830">
        <f t="shared" si="2"/>
        <v>0</v>
      </c>
    </row>
    <row r="27" spans="1:11" ht="15.75">
      <c r="A27" s="806" t="s">
        <v>190</v>
      </c>
      <c r="B27" s="806" t="str">
        <f t="shared" si="3"/>
        <v>Year 2016</v>
      </c>
      <c r="C27" s="806"/>
      <c r="D27" s="830">
        <f t="shared" si="4"/>
        <v>0</v>
      </c>
      <c r="E27" s="830"/>
      <c r="F27" s="831">
        <f t="shared" si="5"/>
        <v>2.96E-3</v>
      </c>
      <c r="G27" s="832">
        <f t="shared" si="0"/>
        <v>6</v>
      </c>
      <c r="H27" s="830">
        <f t="shared" si="1"/>
        <v>0</v>
      </c>
      <c r="I27" s="830"/>
      <c r="J27" s="830"/>
      <c r="K27" s="830">
        <f t="shared" si="2"/>
        <v>0</v>
      </c>
    </row>
    <row r="28" spans="1:11" ht="15.75">
      <c r="A28" s="806" t="s">
        <v>191</v>
      </c>
      <c r="B28" s="806" t="str">
        <f t="shared" si="3"/>
        <v>Year 2016</v>
      </c>
      <c r="C28" s="806"/>
      <c r="D28" s="830">
        <f t="shared" si="4"/>
        <v>0</v>
      </c>
      <c r="E28" s="830"/>
      <c r="F28" s="831">
        <f t="shared" si="5"/>
        <v>2.96E-3</v>
      </c>
      <c r="G28" s="832">
        <f t="shared" si="0"/>
        <v>5</v>
      </c>
      <c r="H28" s="830">
        <f t="shared" si="1"/>
        <v>0</v>
      </c>
      <c r="I28" s="830"/>
      <c r="J28" s="830"/>
      <c r="K28" s="830">
        <f t="shared" si="2"/>
        <v>0</v>
      </c>
    </row>
    <row r="29" spans="1:11" ht="15.75">
      <c r="A29" s="806" t="s">
        <v>193</v>
      </c>
      <c r="B29" s="806" t="str">
        <f t="shared" si="3"/>
        <v>Year 2016</v>
      </c>
      <c r="C29" s="806"/>
      <c r="D29" s="830">
        <f t="shared" si="4"/>
        <v>0</v>
      </c>
      <c r="E29" s="830"/>
      <c r="F29" s="831">
        <f t="shared" si="5"/>
        <v>2.96E-3</v>
      </c>
      <c r="G29" s="832">
        <f t="shared" si="0"/>
        <v>4</v>
      </c>
      <c r="H29" s="830">
        <f t="shared" si="1"/>
        <v>0</v>
      </c>
      <c r="I29" s="830"/>
      <c r="J29" s="830"/>
      <c r="K29" s="830">
        <f t="shared" si="2"/>
        <v>0</v>
      </c>
    </row>
    <row r="30" spans="1:11" ht="15.75">
      <c r="A30" s="806" t="s">
        <v>561</v>
      </c>
      <c r="B30" s="806" t="str">
        <f t="shared" si="3"/>
        <v>Year 2016</v>
      </c>
      <c r="C30" s="806"/>
      <c r="D30" s="830">
        <f t="shared" si="4"/>
        <v>0</v>
      </c>
      <c r="E30" s="830"/>
      <c r="F30" s="831">
        <f t="shared" si="5"/>
        <v>2.96E-3</v>
      </c>
      <c r="G30" s="832">
        <f t="shared" si="0"/>
        <v>3</v>
      </c>
      <c r="H30" s="830">
        <f t="shared" si="1"/>
        <v>0</v>
      </c>
      <c r="I30" s="830"/>
      <c r="J30" s="830"/>
      <c r="K30" s="830">
        <f t="shared" si="2"/>
        <v>0</v>
      </c>
    </row>
    <row r="31" spans="1:11" ht="15.75">
      <c r="A31" s="806" t="s">
        <v>562</v>
      </c>
      <c r="B31" s="806" t="str">
        <f t="shared" si="3"/>
        <v>Year 2016</v>
      </c>
      <c r="C31" s="806"/>
      <c r="D31" s="830">
        <f t="shared" si="4"/>
        <v>0</v>
      </c>
      <c r="E31" s="830"/>
      <c r="F31" s="831">
        <f t="shared" si="5"/>
        <v>2.96E-3</v>
      </c>
      <c r="G31" s="832">
        <f t="shared" si="0"/>
        <v>2</v>
      </c>
      <c r="H31" s="830">
        <f t="shared" si="1"/>
        <v>0</v>
      </c>
      <c r="I31" s="830"/>
      <c r="J31" s="830"/>
      <c r="K31" s="830">
        <f t="shared" si="2"/>
        <v>0</v>
      </c>
    </row>
    <row r="32" spans="1:11" ht="15.75">
      <c r="A32" s="806" t="s">
        <v>192</v>
      </c>
      <c r="B32" s="806" t="str">
        <f t="shared" si="3"/>
        <v>Year 2016</v>
      </c>
      <c r="C32" s="806"/>
      <c r="D32" s="830">
        <f t="shared" si="4"/>
        <v>0</v>
      </c>
      <c r="E32" s="830"/>
      <c r="F32" s="831">
        <f t="shared" si="5"/>
        <v>2.96E-3</v>
      </c>
      <c r="G32" s="832">
        <f t="shared" si="0"/>
        <v>1</v>
      </c>
      <c r="H32" s="833">
        <f t="shared" si="1"/>
        <v>0</v>
      </c>
      <c r="I32" s="830"/>
      <c r="J32" s="830"/>
      <c r="K32" s="830">
        <f t="shared" si="2"/>
        <v>0</v>
      </c>
    </row>
    <row r="33" spans="1:11" ht="15.75">
      <c r="A33" s="806"/>
      <c r="B33" s="806"/>
      <c r="C33" s="806"/>
      <c r="D33" s="830"/>
      <c r="E33" s="830"/>
      <c r="F33" s="831"/>
      <c r="G33" s="806"/>
      <c r="H33" s="830">
        <f>SUM(H21:H32)</f>
        <v>0</v>
      </c>
      <c r="I33" s="830"/>
      <c r="J33" s="830"/>
      <c r="K33" s="834">
        <f>SUM(K21:K32)</f>
        <v>0</v>
      </c>
    </row>
    <row r="34" spans="1:11" ht="15.75">
      <c r="A34" s="806"/>
      <c r="B34" s="806"/>
      <c r="C34" s="806"/>
      <c r="D34" s="830"/>
      <c r="E34" s="830"/>
      <c r="F34" s="831"/>
      <c r="G34" s="806"/>
      <c r="H34" s="830"/>
      <c r="I34" s="830" t="s">
        <v>115</v>
      </c>
      <c r="J34" s="830"/>
      <c r="K34" s="518"/>
    </row>
    <row r="35" spans="1:11" ht="15.75">
      <c r="A35" s="806"/>
      <c r="B35" s="806"/>
      <c r="C35" s="806"/>
      <c r="D35" s="816"/>
      <c r="E35" s="816"/>
      <c r="F35" s="831"/>
      <c r="G35" s="806"/>
      <c r="H35" s="835" t="s">
        <v>563</v>
      </c>
      <c r="I35" s="830"/>
      <c r="J35" s="830"/>
      <c r="K35" s="830"/>
    </row>
    <row r="36" spans="1:11" ht="15.75">
      <c r="A36" s="806" t="s">
        <v>564</v>
      </c>
      <c r="B36" s="806" t="str">
        <f>"Year 2017"</f>
        <v>Year 2017</v>
      </c>
      <c r="C36" s="806"/>
      <c r="D36" s="816">
        <f>K33</f>
        <v>0</v>
      </c>
      <c r="E36" s="816"/>
      <c r="F36" s="831">
        <f>+F32</f>
        <v>2.96E-3</v>
      </c>
      <c r="G36" s="832">
        <v>12</v>
      </c>
      <c r="H36" s="830">
        <f>+G36*F36*D36</f>
        <v>0</v>
      </c>
      <c r="I36" s="830"/>
      <c r="J36" s="830"/>
      <c r="K36" s="834">
        <f>+D36+H36</f>
        <v>0</v>
      </c>
    </row>
    <row r="37" spans="1:11" ht="15.75">
      <c r="A37" s="806"/>
      <c r="B37" s="806"/>
      <c r="C37" s="806"/>
      <c r="D37" s="816"/>
      <c r="E37" s="816"/>
      <c r="F37" s="831"/>
      <c r="G37" s="806"/>
      <c r="H37" s="830"/>
      <c r="I37" s="830"/>
      <c r="J37" s="830"/>
      <c r="K37" s="830"/>
    </row>
    <row r="38" spans="1:11" ht="15.75">
      <c r="A38" s="836" t="s">
        <v>565</v>
      </c>
      <c r="B38" s="806"/>
      <c r="C38" s="806"/>
      <c r="D38" s="830"/>
      <c r="E38" s="830"/>
      <c r="F38" s="831"/>
      <c r="G38" s="806"/>
      <c r="H38" s="835" t="s">
        <v>559</v>
      </c>
      <c r="I38" s="830"/>
      <c r="J38" s="830"/>
      <c r="K38" s="830"/>
    </row>
    <row r="39" spans="1:11" ht="15.75">
      <c r="A39" s="806" t="s">
        <v>186</v>
      </c>
      <c r="B39" s="806" t="str">
        <f>"Year 2018"</f>
        <v>Year 2018</v>
      </c>
      <c r="C39" s="806"/>
      <c r="D39" s="816">
        <f>-K36</f>
        <v>0</v>
      </c>
      <c r="E39" s="816"/>
      <c r="F39" s="831">
        <f>+F32</f>
        <v>2.96E-3</v>
      </c>
      <c r="G39" s="806"/>
      <c r="H39" s="830">
        <f xml:space="preserve"> -F39*D39</f>
        <v>0</v>
      </c>
      <c r="I39" s="830">
        <f>PMT(F39,12,K$36)</f>
        <v>0</v>
      </c>
      <c r="J39" s="830"/>
      <c r="K39" s="830">
        <f>(+D39+D39*F39-I39)*-1</f>
        <v>0</v>
      </c>
    </row>
    <row r="40" spans="1:11" ht="15.75">
      <c r="A40" s="806" t="s">
        <v>560</v>
      </c>
      <c r="B40" s="806" t="str">
        <f>+B39</f>
        <v>Year 2018</v>
      </c>
      <c r="C40" s="806"/>
      <c r="D40" s="816">
        <f>-K39</f>
        <v>0</v>
      </c>
      <c r="E40" s="816"/>
      <c r="F40" s="831">
        <f>+F39</f>
        <v>2.96E-3</v>
      </c>
      <c r="G40" s="806"/>
      <c r="H40" s="830">
        <f xml:space="preserve"> -F40*D40</f>
        <v>0</v>
      </c>
      <c r="I40" s="830">
        <f>I39</f>
        <v>0</v>
      </c>
      <c r="J40" s="830"/>
      <c r="K40" s="830">
        <f t="shared" ref="K40:K50" si="6">(+D40+D40*F40-I40)*-1</f>
        <v>0</v>
      </c>
    </row>
    <row r="41" spans="1:11" ht="15.75">
      <c r="A41" s="806" t="s">
        <v>187</v>
      </c>
      <c r="B41" s="806" t="str">
        <f>+B40</f>
        <v>Year 2018</v>
      </c>
      <c r="C41" s="806"/>
      <c r="D41" s="816">
        <f t="shared" ref="D41:D50" si="7">-K40</f>
        <v>0</v>
      </c>
      <c r="E41" s="816"/>
      <c r="F41" s="831">
        <f t="shared" ref="F41:F50" si="8">+F40</f>
        <v>2.96E-3</v>
      </c>
      <c r="G41" s="806"/>
      <c r="H41" s="830">
        <f t="shared" ref="H41:H50" si="9" xml:space="preserve"> -F41*D41</f>
        <v>0</v>
      </c>
      <c r="I41" s="830">
        <f t="shared" ref="I41:I50" si="10">I40</f>
        <v>0</v>
      </c>
      <c r="J41" s="830"/>
      <c r="K41" s="830">
        <f t="shared" si="6"/>
        <v>0</v>
      </c>
    </row>
    <row r="42" spans="1:11" ht="15.75">
      <c r="A42" s="806" t="s">
        <v>188</v>
      </c>
      <c r="B42" s="806" t="str">
        <f>+B41</f>
        <v>Year 2018</v>
      </c>
      <c r="C42" s="806"/>
      <c r="D42" s="816">
        <f t="shared" si="7"/>
        <v>0</v>
      </c>
      <c r="E42" s="816"/>
      <c r="F42" s="831">
        <f t="shared" si="8"/>
        <v>2.96E-3</v>
      </c>
      <c r="G42" s="806"/>
      <c r="H42" s="830">
        <f t="shared" si="9"/>
        <v>0</v>
      </c>
      <c r="I42" s="830">
        <f t="shared" si="10"/>
        <v>0</v>
      </c>
      <c r="J42" s="830"/>
      <c r="K42" s="830">
        <f t="shared" si="6"/>
        <v>0</v>
      </c>
    </row>
    <row r="43" spans="1:11" ht="15.75">
      <c r="A43" s="806" t="s">
        <v>189</v>
      </c>
      <c r="B43" s="806" t="str">
        <f>+B42</f>
        <v>Year 2018</v>
      </c>
      <c r="C43" s="806"/>
      <c r="D43" s="816">
        <f t="shared" si="7"/>
        <v>0</v>
      </c>
      <c r="E43" s="816"/>
      <c r="F43" s="831">
        <f t="shared" si="8"/>
        <v>2.96E-3</v>
      </c>
      <c r="G43" s="806"/>
      <c r="H43" s="830">
        <f t="shared" si="9"/>
        <v>0</v>
      </c>
      <c r="I43" s="830">
        <f>I42</f>
        <v>0</v>
      </c>
      <c r="J43" s="830"/>
      <c r="K43" s="830">
        <f t="shared" si="6"/>
        <v>0</v>
      </c>
    </row>
    <row r="44" spans="1:11" ht="15.75">
      <c r="A44" s="806" t="s">
        <v>383</v>
      </c>
      <c r="B44" s="806" t="str">
        <f>B43</f>
        <v>Year 2018</v>
      </c>
      <c r="C44" s="518"/>
      <c r="D44" s="816">
        <f t="shared" si="7"/>
        <v>0</v>
      </c>
      <c r="E44" s="816"/>
      <c r="F44" s="831">
        <f t="shared" si="8"/>
        <v>2.96E-3</v>
      </c>
      <c r="G44" s="806"/>
      <c r="H44" s="830">
        <f t="shared" si="9"/>
        <v>0</v>
      </c>
      <c r="I44" s="830">
        <f t="shared" si="10"/>
        <v>0</v>
      </c>
      <c r="J44" s="830"/>
      <c r="K44" s="830">
        <f t="shared" si="6"/>
        <v>0</v>
      </c>
    </row>
    <row r="45" spans="1:11" ht="15.75">
      <c r="A45" s="806" t="s">
        <v>190</v>
      </c>
      <c r="B45" s="806" t="str">
        <f t="shared" ref="B45:B50" si="11">+B44</f>
        <v>Year 2018</v>
      </c>
      <c r="C45" s="806"/>
      <c r="D45" s="816">
        <f t="shared" si="7"/>
        <v>0</v>
      </c>
      <c r="E45" s="816"/>
      <c r="F45" s="831">
        <f t="shared" si="8"/>
        <v>2.96E-3</v>
      </c>
      <c r="G45" s="806"/>
      <c r="H45" s="830">
        <f t="shared" si="9"/>
        <v>0</v>
      </c>
      <c r="I45" s="830">
        <f t="shared" si="10"/>
        <v>0</v>
      </c>
      <c r="J45" s="830"/>
      <c r="K45" s="830">
        <f t="shared" si="6"/>
        <v>0</v>
      </c>
    </row>
    <row r="46" spans="1:11" ht="15.75">
      <c r="A46" s="806" t="s">
        <v>191</v>
      </c>
      <c r="B46" s="806" t="str">
        <f t="shared" si="11"/>
        <v>Year 2018</v>
      </c>
      <c r="C46" s="806"/>
      <c r="D46" s="816">
        <f t="shared" si="7"/>
        <v>0</v>
      </c>
      <c r="E46" s="816"/>
      <c r="F46" s="831">
        <f t="shared" si="8"/>
        <v>2.96E-3</v>
      </c>
      <c r="G46" s="806"/>
      <c r="H46" s="830">
        <f t="shared" si="9"/>
        <v>0</v>
      </c>
      <c r="I46" s="830">
        <f t="shared" si="10"/>
        <v>0</v>
      </c>
      <c r="J46" s="830"/>
      <c r="K46" s="830">
        <f t="shared" si="6"/>
        <v>0</v>
      </c>
    </row>
    <row r="47" spans="1:11" ht="15.75">
      <c r="A47" s="806" t="s">
        <v>193</v>
      </c>
      <c r="B47" s="806" t="str">
        <f t="shared" si="11"/>
        <v>Year 2018</v>
      </c>
      <c r="C47" s="806"/>
      <c r="D47" s="816">
        <f t="shared" si="7"/>
        <v>0</v>
      </c>
      <c r="E47" s="816"/>
      <c r="F47" s="831">
        <f t="shared" si="8"/>
        <v>2.96E-3</v>
      </c>
      <c r="G47" s="806"/>
      <c r="H47" s="830">
        <f t="shared" si="9"/>
        <v>0</v>
      </c>
      <c r="I47" s="830">
        <f>I46</f>
        <v>0</v>
      </c>
      <c r="J47" s="830"/>
      <c r="K47" s="830">
        <f t="shared" si="6"/>
        <v>0</v>
      </c>
    </row>
    <row r="48" spans="1:11" ht="15.75">
      <c r="A48" s="806" t="s">
        <v>561</v>
      </c>
      <c r="B48" s="806" t="str">
        <f t="shared" si="11"/>
        <v>Year 2018</v>
      </c>
      <c r="C48" s="806"/>
      <c r="D48" s="816">
        <f t="shared" si="7"/>
        <v>0</v>
      </c>
      <c r="E48" s="816"/>
      <c r="F48" s="831">
        <f t="shared" si="8"/>
        <v>2.96E-3</v>
      </c>
      <c r="G48" s="806"/>
      <c r="H48" s="830">
        <f t="shared" si="9"/>
        <v>0</v>
      </c>
      <c r="I48" s="830">
        <f t="shared" si="10"/>
        <v>0</v>
      </c>
      <c r="J48" s="830"/>
      <c r="K48" s="830">
        <f t="shared" si="6"/>
        <v>0</v>
      </c>
    </row>
    <row r="49" spans="1:11" ht="15.75">
      <c r="A49" s="806" t="s">
        <v>562</v>
      </c>
      <c r="B49" s="806" t="str">
        <f t="shared" si="11"/>
        <v>Year 2018</v>
      </c>
      <c r="C49" s="806"/>
      <c r="D49" s="816">
        <f t="shared" si="7"/>
        <v>0</v>
      </c>
      <c r="E49" s="816"/>
      <c r="F49" s="831">
        <f t="shared" si="8"/>
        <v>2.96E-3</v>
      </c>
      <c r="G49" s="806"/>
      <c r="H49" s="830">
        <f t="shared" si="9"/>
        <v>0</v>
      </c>
      <c r="I49" s="830">
        <f t="shared" si="10"/>
        <v>0</v>
      </c>
      <c r="J49" s="830"/>
      <c r="K49" s="830">
        <f t="shared" si="6"/>
        <v>0</v>
      </c>
    </row>
    <row r="50" spans="1:11" ht="15.75">
      <c r="A50" s="806" t="s">
        <v>192</v>
      </c>
      <c r="B50" s="806" t="str">
        <f t="shared" si="11"/>
        <v>Year 2018</v>
      </c>
      <c r="C50" s="806"/>
      <c r="D50" s="816">
        <f t="shared" si="7"/>
        <v>0</v>
      </c>
      <c r="E50" s="816"/>
      <c r="F50" s="831">
        <f t="shared" si="8"/>
        <v>2.96E-3</v>
      </c>
      <c r="G50" s="806"/>
      <c r="H50" s="833">
        <f t="shared" si="9"/>
        <v>0</v>
      </c>
      <c r="I50" s="830">
        <f t="shared" si="10"/>
        <v>0</v>
      </c>
      <c r="J50" s="830"/>
      <c r="K50" s="830">
        <f t="shared" si="6"/>
        <v>0</v>
      </c>
    </row>
    <row r="51" spans="1:11" ht="15.75">
      <c r="A51" s="806"/>
      <c r="B51" s="806"/>
      <c r="C51" s="806"/>
      <c r="D51" s="816"/>
      <c r="E51" s="816"/>
      <c r="F51" s="831"/>
      <c r="G51" s="806"/>
      <c r="H51" s="830">
        <f>SUM(H39:H50)</f>
        <v>0</v>
      </c>
      <c r="I51" s="830"/>
      <c r="J51" s="830"/>
      <c r="K51" s="830"/>
    </row>
    <row r="52" spans="1:11" ht="15">
      <c r="A52" s="518"/>
      <c r="B52" s="518"/>
      <c r="C52" s="518"/>
      <c r="D52" s="518"/>
      <c r="E52" s="518"/>
      <c r="F52" s="518"/>
      <c r="G52" s="518"/>
      <c r="H52" s="518"/>
      <c r="I52" s="837"/>
      <c r="J52" s="518"/>
      <c r="K52" s="518"/>
    </row>
    <row r="53" spans="1:11" ht="15.75">
      <c r="A53" s="806" t="s">
        <v>570</v>
      </c>
      <c r="B53" s="518"/>
      <c r="C53" s="518"/>
      <c r="D53" s="518"/>
      <c r="E53" s="518"/>
      <c r="F53" s="518"/>
      <c r="G53" s="518"/>
      <c r="H53" s="518"/>
      <c r="I53" s="838">
        <f>(SUM(I39:I50)*-1)</f>
        <v>0</v>
      </c>
      <c r="J53" s="518"/>
      <c r="K53" s="518"/>
    </row>
    <row r="54" spans="1:11" ht="15.75">
      <c r="A54" s="806" t="s">
        <v>566</v>
      </c>
      <c r="B54" s="518"/>
      <c r="C54" s="518"/>
      <c r="D54" s="518"/>
      <c r="E54" s="518"/>
      <c r="F54" s="518"/>
      <c r="G54" s="518"/>
      <c r="H54" s="518"/>
      <c r="I54" s="839">
        <f>+H10</f>
        <v>0</v>
      </c>
      <c r="J54" s="518"/>
      <c r="K54" s="518"/>
    </row>
    <row r="55" spans="1:11" ht="15.75">
      <c r="A55" s="806" t="s">
        <v>567</v>
      </c>
      <c r="B55" s="518"/>
      <c r="C55" s="518"/>
      <c r="D55" s="518"/>
      <c r="E55" s="518"/>
      <c r="F55" s="518"/>
      <c r="G55" s="518"/>
      <c r="H55" s="518"/>
      <c r="I55" s="838">
        <f>(I53+I54)</f>
        <v>0</v>
      </c>
      <c r="J55" s="518"/>
      <c r="K55" s="518"/>
    </row>
    <row r="56" spans="1:11">
      <c r="A56" s="415"/>
      <c r="B56" s="415"/>
      <c r="C56" s="415"/>
      <c r="D56" s="415"/>
      <c r="E56" s="415"/>
      <c r="F56" s="415"/>
      <c r="G56" s="415"/>
      <c r="H56" s="415"/>
      <c r="I56" s="415"/>
      <c r="J56" s="415"/>
      <c r="K56" s="415"/>
    </row>
    <row r="57" spans="1:11" ht="109.5" customHeight="1">
      <c r="A57" s="1492" t="s">
        <v>571</v>
      </c>
      <c r="B57" s="1492"/>
      <c r="C57" s="1492"/>
      <c r="D57" s="1492"/>
      <c r="E57" s="840"/>
      <c r="F57" s="840"/>
      <c r="G57" s="840"/>
      <c r="H57" s="840"/>
      <c r="I57" s="840"/>
      <c r="J57" s="840"/>
      <c r="K57" s="840"/>
    </row>
  </sheetData>
  <mergeCells count="5">
    <mergeCell ref="A1:K1"/>
    <mergeCell ref="A2:K2"/>
    <mergeCell ref="A3:K3"/>
    <mergeCell ref="D4:G4"/>
    <mergeCell ref="A57:D57"/>
  </mergeCells>
  <pageMargins left="0.7" right="0.7" top="0.75" bottom="0.75" header="0.3" footer="0.3"/>
  <pageSetup scale="5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60" zoomScaleNormal="100" workbookViewId="0">
      <selection activeCell="I14" sqref="I14:I15"/>
    </sheetView>
  </sheetViews>
  <sheetFormatPr defaultRowHeight="12.75"/>
  <cols>
    <col min="1" max="1" width="23" customWidth="1"/>
    <col min="4" max="4" width="19.42578125" customWidth="1"/>
    <col min="6" max="6" width="17" customWidth="1"/>
    <col min="8" max="8" width="19.140625" customWidth="1"/>
    <col min="9" max="9" width="15.42578125" customWidth="1"/>
    <col min="11" max="11" width="22.42578125" customWidth="1"/>
  </cols>
  <sheetData>
    <row r="1" spans="1:11" ht="15.75">
      <c r="A1" s="1491" t="s">
        <v>388</v>
      </c>
      <c r="B1" s="1491"/>
      <c r="C1" s="1491"/>
      <c r="D1" s="1491"/>
      <c r="E1" s="1491"/>
      <c r="F1" s="1491"/>
      <c r="G1" s="1491"/>
      <c r="H1" s="1491"/>
      <c r="I1" s="1491"/>
      <c r="J1" s="1491"/>
      <c r="K1" s="1491"/>
    </row>
    <row r="2" spans="1:11" ht="15.75">
      <c r="A2" s="1490" t="s">
        <v>568</v>
      </c>
      <c r="B2" s="1490"/>
      <c r="C2" s="1490"/>
      <c r="D2" s="1490"/>
      <c r="E2" s="1490"/>
      <c r="F2" s="1490"/>
      <c r="G2" s="1490"/>
      <c r="H2" s="1490"/>
      <c r="I2" s="1490"/>
      <c r="J2" s="1490"/>
      <c r="K2" s="1490"/>
    </row>
    <row r="3" spans="1:11" ht="15.75">
      <c r="A3" s="1490" t="s">
        <v>569</v>
      </c>
      <c r="B3" s="1490"/>
      <c r="C3" s="1490"/>
      <c r="D3" s="1490"/>
      <c r="E3" s="1490"/>
      <c r="F3" s="1490"/>
      <c r="G3" s="1490"/>
      <c r="H3" s="1490"/>
      <c r="I3" s="1490"/>
      <c r="J3" s="1490"/>
      <c r="K3" s="1490"/>
    </row>
    <row r="4" spans="1:11" ht="15.75">
      <c r="A4" s="518"/>
      <c r="B4" s="518"/>
      <c r="C4" s="518"/>
      <c r="D4" s="1490"/>
      <c r="E4" s="1490"/>
      <c r="F4" s="1490"/>
      <c r="G4" s="1490"/>
      <c r="H4" s="518"/>
      <c r="I4" s="518"/>
      <c r="J4" s="518"/>
      <c r="K4" s="518"/>
    </row>
    <row r="5" spans="1:11">
      <c r="A5" s="415"/>
      <c r="B5" s="415"/>
      <c r="C5" s="415"/>
      <c r="D5" s="415"/>
      <c r="E5" s="415"/>
      <c r="F5" s="415"/>
      <c r="G5" s="415"/>
      <c r="H5" s="415"/>
      <c r="I5" s="415"/>
      <c r="J5" s="415"/>
      <c r="K5" s="415"/>
    </row>
    <row r="6" spans="1:11">
      <c r="A6" s="415"/>
      <c r="B6" s="415"/>
      <c r="C6" s="415"/>
      <c r="D6" s="415"/>
      <c r="E6" s="415"/>
      <c r="F6" s="415"/>
      <c r="G6" s="415"/>
      <c r="H6" s="415"/>
      <c r="I6" s="415"/>
      <c r="J6" s="415"/>
      <c r="K6" s="415"/>
    </row>
    <row r="7" spans="1:11" ht="16.5" thickBot="1">
      <c r="A7" s="805"/>
      <c r="B7" s="806"/>
      <c r="C7" s="806"/>
      <c r="D7" s="806"/>
      <c r="E7" s="806"/>
      <c r="F7" s="806"/>
      <c r="G7" s="806"/>
      <c r="H7" s="806"/>
      <c r="I7" s="806"/>
      <c r="J7" s="806"/>
      <c r="K7" s="806"/>
    </row>
    <row r="8" spans="1:11" ht="63">
      <c r="A8" s="807" t="str">
        <f>"Reconciliation Revenue Requirement For Year 2016 Available May 25, 2017"</f>
        <v>Reconciliation Revenue Requirement For Year 2016 Available May 25, 2017</v>
      </c>
      <c r="B8" s="806"/>
      <c r="C8" s="806"/>
      <c r="D8" s="807" t="s">
        <v>991</v>
      </c>
      <c r="E8" s="806"/>
      <c r="F8" s="806"/>
      <c r="G8" s="518"/>
      <c r="H8" s="807" t="s">
        <v>549</v>
      </c>
      <c r="I8" s="518"/>
      <c r="J8" s="518"/>
      <c r="K8" s="518"/>
    </row>
    <row r="9" spans="1:11" ht="15.75">
      <c r="A9" s="808" t="s">
        <v>115</v>
      </c>
      <c r="B9" s="806"/>
      <c r="C9" s="806"/>
      <c r="D9" s="808"/>
      <c r="E9" s="806"/>
      <c r="F9" s="806"/>
      <c r="G9" s="518"/>
      <c r="H9" s="809"/>
      <c r="I9" s="518"/>
      <c r="J9" s="518"/>
      <c r="K9" s="518"/>
    </row>
    <row r="10" spans="1:11" ht="16.5" thickBot="1">
      <c r="A10" s="893">
        <v>0</v>
      </c>
      <c r="B10" s="810" t="str">
        <f>"-"</f>
        <v>-</v>
      </c>
      <c r="C10" s="811"/>
      <c r="D10" s="893">
        <v>0</v>
      </c>
      <c r="E10" s="812"/>
      <c r="F10" s="813" t="str">
        <f>"="</f>
        <v>=</v>
      </c>
      <c r="G10" s="814"/>
      <c r="H10" s="815">
        <f>IF(A10=0,0,D10-A10)</f>
        <v>0</v>
      </c>
      <c r="I10" s="518"/>
      <c r="J10" s="518"/>
      <c r="K10" s="518"/>
    </row>
    <row r="11" spans="1:11" ht="15.75">
      <c r="A11" s="816"/>
      <c r="B11" s="817"/>
      <c r="C11" s="817"/>
      <c r="D11" s="816"/>
      <c r="E11" s="816"/>
      <c r="F11" s="817"/>
      <c r="G11" s="816"/>
      <c r="H11" s="518"/>
      <c r="I11" s="518"/>
      <c r="J11" s="518"/>
      <c r="K11" s="518"/>
    </row>
    <row r="12" spans="1:11" ht="16.5" thickBot="1">
      <c r="A12" s="818"/>
      <c r="B12" s="819"/>
      <c r="C12" s="819"/>
      <c r="D12" s="818"/>
      <c r="E12" s="818"/>
      <c r="F12" s="819"/>
      <c r="G12" s="818"/>
      <c r="H12" s="820"/>
      <c r="I12" s="820"/>
      <c r="J12" s="820"/>
      <c r="K12" s="820"/>
    </row>
    <row r="13" spans="1:11" ht="15.75">
      <c r="A13" s="821"/>
      <c r="B13" s="817"/>
      <c r="C13" s="817"/>
      <c r="D13" s="816"/>
      <c r="E13" s="816"/>
      <c r="F13" s="817"/>
      <c r="G13" s="816"/>
      <c r="H13" s="518"/>
      <c r="I13" s="518"/>
      <c r="J13" s="518"/>
      <c r="K13" s="518"/>
    </row>
    <row r="14" spans="1:11" ht="47.25">
      <c r="A14" s="822" t="s">
        <v>550</v>
      </c>
      <c r="B14" s="817"/>
      <c r="C14" s="817"/>
      <c r="D14" s="823" t="s">
        <v>551</v>
      </c>
      <c r="E14" s="816"/>
      <c r="F14" s="823" t="s">
        <v>552</v>
      </c>
      <c r="G14" s="824" t="s">
        <v>553</v>
      </c>
      <c r="H14" s="825" t="s">
        <v>554</v>
      </c>
      <c r="I14" s="823" t="s">
        <v>555</v>
      </c>
      <c r="J14" s="826"/>
      <c r="K14" s="823" t="s">
        <v>556</v>
      </c>
    </row>
    <row r="15" spans="1:11" ht="15.75">
      <c r="A15" s="822" t="s">
        <v>557</v>
      </c>
      <c r="B15" s="817"/>
      <c r="C15" s="817"/>
      <c r="D15" s="518"/>
      <c r="E15" s="827"/>
      <c r="F15" s="1256">
        <v>2.96E-3</v>
      </c>
      <c r="G15" s="334"/>
      <c r="H15" s="518"/>
      <c r="I15" s="518"/>
      <c r="J15" s="518"/>
      <c r="K15" s="518"/>
    </row>
    <row r="16" spans="1:11" ht="15.75">
      <c r="A16" s="822"/>
      <c r="B16" s="817"/>
      <c r="C16" s="817"/>
      <c r="D16" s="518"/>
      <c r="E16" s="827"/>
      <c r="F16" s="827"/>
      <c r="G16" s="816"/>
      <c r="H16" s="518"/>
      <c r="I16" s="518"/>
      <c r="J16" s="518"/>
      <c r="K16" s="518"/>
    </row>
    <row r="17" spans="1:11" ht="15.75">
      <c r="A17" s="822" t="s">
        <v>992</v>
      </c>
      <c r="B17" s="817"/>
      <c r="C17" s="817"/>
      <c r="D17" s="518"/>
      <c r="E17" s="827"/>
      <c r="F17" s="827"/>
      <c r="G17" s="816"/>
      <c r="H17" s="518"/>
      <c r="I17" s="518"/>
      <c r="J17" s="518"/>
      <c r="K17" s="518"/>
    </row>
    <row r="18" spans="1:11" ht="15.75">
      <c r="A18" s="828" t="s">
        <v>115</v>
      </c>
      <c r="B18" s="817"/>
      <c r="C18" s="817"/>
      <c r="D18" s="817"/>
      <c r="E18" s="817"/>
      <c r="F18" s="817" t="s">
        <v>115</v>
      </c>
      <c r="G18" s="518"/>
      <c r="H18" s="518"/>
      <c r="I18" s="518"/>
      <c r="J18" s="518"/>
      <c r="K18" s="518"/>
    </row>
    <row r="19" spans="1:11" ht="15.75">
      <c r="A19" s="829"/>
      <c r="B19" s="817"/>
      <c r="C19" s="817"/>
      <c r="D19" s="817"/>
      <c r="E19" s="817"/>
      <c r="F19" s="518"/>
      <c r="G19" s="518"/>
      <c r="H19" s="824"/>
      <c r="I19" s="817"/>
      <c r="J19" s="817"/>
      <c r="K19" s="817"/>
    </row>
    <row r="20" spans="1:11" ht="15.75">
      <c r="A20" s="829" t="s">
        <v>558</v>
      </c>
      <c r="B20" s="817"/>
      <c r="C20" s="817"/>
      <c r="D20" s="817"/>
      <c r="E20" s="817"/>
      <c r="F20" s="518"/>
      <c r="G20" s="518"/>
      <c r="H20" s="824" t="s">
        <v>559</v>
      </c>
      <c r="I20" s="817"/>
      <c r="J20" s="817"/>
      <c r="K20" s="817"/>
    </row>
    <row r="21" spans="1:11" ht="15.75">
      <c r="A21" s="806" t="s">
        <v>186</v>
      </c>
      <c r="B21" s="806" t="str">
        <f>"Year 2016"</f>
        <v>Year 2016</v>
      </c>
      <c r="C21" s="806"/>
      <c r="D21" s="830">
        <f>H10/12</f>
        <v>0</v>
      </c>
      <c r="E21" s="830"/>
      <c r="F21" s="831">
        <f>+F15</f>
        <v>2.96E-3</v>
      </c>
      <c r="G21" s="832">
        <v>12</v>
      </c>
      <c r="H21" s="830">
        <f>F21*D21*G21*-1</f>
        <v>0</v>
      </c>
      <c r="I21" s="830"/>
      <c r="J21" s="830"/>
      <c r="K21" s="830">
        <f>(-H21+D21)*-1</f>
        <v>0</v>
      </c>
    </row>
    <row r="22" spans="1:11" ht="15.75">
      <c r="A22" s="806" t="s">
        <v>560</v>
      </c>
      <c r="B22" s="806" t="str">
        <f>B21</f>
        <v>Year 2016</v>
      </c>
      <c r="C22" s="806"/>
      <c r="D22" s="830">
        <f>+D21</f>
        <v>0</v>
      </c>
      <c r="E22" s="830"/>
      <c r="F22" s="831">
        <f>+F21</f>
        <v>2.96E-3</v>
      </c>
      <c r="G22" s="832">
        <f t="shared" ref="G22:G32" si="0">+G21-1</f>
        <v>11</v>
      </c>
      <c r="H22" s="830">
        <f t="shared" ref="H22:H32" si="1">F22*D22*G22*-1</f>
        <v>0</v>
      </c>
      <c r="I22" s="830"/>
      <c r="J22" s="830"/>
      <c r="K22" s="830">
        <f t="shared" ref="K22:K32" si="2">(-H22+D22)*-1</f>
        <v>0</v>
      </c>
    </row>
    <row r="23" spans="1:11" ht="15.75">
      <c r="A23" s="806" t="s">
        <v>187</v>
      </c>
      <c r="B23" s="806" t="str">
        <f t="shared" ref="B23:B32" si="3">B22</f>
        <v>Year 2016</v>
      </c>
      <c r="C23" s="806"/>
      <c r="D23" s="830">
        <f t="shared" ref="D23:D32" si="4">+D22</f>
        <v>0</v>
      </c>
      <c r="E23" s="830"/>
      <c r="F23" s="831">
        <f t="shared" ref="F23:F32" si="5">+F22</f>
        <v>2.96E-3</v>
      </c>
      <c r="G23" s="832">
        <f t="shared" si="0"/>
        <v>10</v>
      </c>
      <c r="H23" s="830">
        <f t="shared" si="1"/>
        <v>0</v>
      </c>
      <c r="I23" s="830"/>
      <c r="J23" s="830"/>
      <c r="K23" s="830">
        <f t="shared" si="2"/>
        <v>0</v>
      </c>
    </row>
    <row r="24" spans="1:11" ht="15.75">
      <c r="A24" s="806" t="s">
        <v>188</v>
      </c>
      <c r="B24" s="806" t="str">
        <f t="shared" si="3"/>
        <v>Year 2016</v>
      </c>
      <c r="C24" s="806"/>
      <c r="D24" s="830">
        <f t="shared" si="4"/>
        <v>0</v>
      </c>
      <c r="E24" s="830"/>
      <c r="F24" s="831">
        <f t="shared" si="5"/>
        <v>2.96E-3</v>
      </c>
      <c r="G24" s="832">
        <f t="shared" si="0"/>
        <v>9</v>
      </c>
      <c r="H24" s="830">
        <f t="shared" si="1"/>
        <v>0</v>
      </c>
      <c r="I24" s="830"/>
      <c r="J24" s="830"/>
      <c r="K24" s="830">
        <f t="shared" si="2"/>
        <v>0</v>
      </c>
    </row>
    <row r="25" spans="1:11" ht="15.75">
      <c r="A25" s="806" t="s">
        <v>189</v>
      </c>
      <c r="B25" s="806" t="str">
        <f t="shared" si="3"/>
        <v>Year 2016</v>
      </c>
      <c r="C25" s="806"/>
      <c r="D25" s="830">
        <f t="shared" si="4"/>
        <v>0</v>
      </c>
      <c r="E25" s="830"/>
      <c r="F25" s="831">
        <f t="shared" si="5"/>
        <v>2.96E-3</v>
      </c>
      <c r="G25" s="832">
        <f t="shared" si="0"/>
        <v>8</v>
      </c>
      <c r="H25" s="830">
        <f t="shared" si="1"/>
        <v>0</v>
      </c>
      <c r="I25" s="830"/>
      <c r="J25" s="830"/>
      <c r="K25" s="830">
        <f t="shared" si="2"/>
        <v>0</v>
      </c>
    </row>
    <row r="26" spans="1:11" ht="15.75">
      <c r="A26" s="806" t="s">
        <v>383</v>
      </c>
      <c r="B26" s="806" t="str">
        <f t="shared" si="3"/>
        <v>Year 2016</v>
      </c>
      <c r="C26" s="806"/>
      <c r="D26" s="830">
        <f t="shared" si="4"/>
        <v>0</v>
      </c>
      <c r="E26" s="830"/>
      <c r="F26" s="831">
        <f t="shared" si="5"/>
        <v>2.96E-3</v>
      </c>
      <c r="G26" s="832">
        <f t="shared" si="0"/>
        <v>7</v>
      </c>
      <c r="H26" s="830">
        <f t="shared" si="1"/>
        <v>0</v>
      </c>
      <c r="I26" s="830"/>
      <c r="J26" s="830"/>
      <c r="K26" s="830">
        <f t="shared" si="2"/>
        <v>0</v>
      </c>
    </row>
    <row r="27" spans="1:11" ht="15.75">
      <c r="A27" s="806" t="s">
        <v>190</v>
      </c>
      <c r="B27" s="806" t="str">
        <f t="shared" si="3"/>
        <v>Year 2016</v>
      </c>
      <c r="C27" s="806"/>
      <c r="D27" s="830">
        <f t="shared" si="4"/>
        <v>0</v>
      </c>
      <c r="E27" s="830"/>
      <c r="F27" s="831">
        <f t="shared" si="5"/>
        <v>2.96E-3</v>
      </c>
      <c r="G27" s="832">
        <f t="shared" si="0"/>
        <v>6</v>
      </c>
      <c r="H27" s="830">
        <f t="shared" si="1"/>
        <v>0</v>
      </c>
      <c r="I27" s="830"/>
      <c r="J27" s="830"/>
      <c r="K27" s="830">
        <f t="shared" si="2"/>
        <v>0</v>
      </c>
    </row>
    <row r="28" spans="1:11" ht="15.75">
      <c r="A28" s="806" t="s">
        <v>191</v>
      </c>
      <c r="B28" s="806" t="str">
        <f t="shared" si="3"/>
        <v>Year 2016</v>
      </c>
      <c r="C28" s="806"/>
      <c r="D28" s="830">
        <f t="shared" si="4"/>
        <v>0</v>
      </c>
      <c r="E28" s="830"/>
      <c r="F28" s="831">
        <f t="shared" si="5"/>
        <v>2.96E-3</v>
      </c>
      <c r="G28" s="832">
        <f t="shared" si="0"/>
        <v>5</v>
      </c>
      <c r="H28" s="830">
        <f t="shared" si="1"/>
        <v>0</v>
      </c>
      <c r="I28" s="830"/>
      <c r="J28" s="830"/>
      <c r="K28" s="830">
        <f t="shared" si="2"/>
        <v>0</v>
      </c>
    </row>
    <row r="29" spans="1:11" ht="15.75">
      <c r="A29" s="806" t="s">
        <v>193</v>
      </c>
      <c r="B29" s="806" t="str">
        <f t="shared" si="3"/>
        <v>Year 2016</v>
      </c>
      <c r="C29" s="806"/>
      <c r="D29" s="830">
        <f t="shared" si="4"/>
        <v>0</v>
      </c>
      <c r="E29" s="830"/>
      <c r="F29" s="831">
        <f t="shared" si="5"/>
        <v>2.96E-3</v>
      </c>
      <c r="G29" s="832">
        <f t="shared" si="0"/>
        <v>4</v>
      </c>
      <c r="H29" s="830">
        <f t="shared" si="1"/>
        <v>0</v>
      </c>
      <c r="I29" s="830"/>
      <c r="J29" s="830"/>
      <c r="K29" s="830">
        <f t="shared" si="2"/>
        <v>0</v>
      </c>
    </row>
    <row r="30" spans="1:11" ht="15.75">
      <c r="A30" s="806" t="s">
        <v>561</v>
      </c>
      <c r="B30" s="806" t="str">
        <f t="shared" si="3"/>
        <v>Year 2016</v>
      </c>
      <c r="C30" s="806"/>
      <c r="D30" s="830">
        <f t="shared" si="4"/>
        <v>0</v>
      </c>
      <c r="E30" s="830"/>
      <c r="F30" s="831">
        <f t="shared" si="5"/>
        <v>2.96E-3</v>
      </c>
      <c r="G30" s="832">
        <f t="shared" si="0"/>
        <v>3</v>
      </c>
      <c r="H30" s="830">
        <f t="shared" si="1"/>
        <v>0</v>
      </c>
      <c r="I30" s="830"/>
      <c r="J30" s="830"/>
      <c r="K30" s="830">
        <f t="shared" si="2"/>
        <v>0</v>
      </c>
    </row>
    <row r="31" spans="1:11" ht="15.75">
      <c r="A31" s="806" t="s">
        <v>562</v>
      </c>
      <c r="B31" s="806" t="str">
        <f t="shared" si="3"/>
        <v>Year 2016</v>
      </c>
      <c r="C31" s="806"/>
      <c r="D31" s="830">
        <f t="shared" si="4"/>
        <v>0</v>
      </c>
      <c r="E31" s="830"/>
      <c r="F31" s="831">
        <f t="shared" si="5"/>
        <v>2.96E-3</v>
      </c>
      <c r="G31" s="832">
        <f t="shared" si="0"/>
        <v>2</v>
      </c>
      <c r="H31" s="830">
        <f t="shared" si="1"/>
        <v>0</v>
      </c>
      <c r="I31" s="830"/>
      <c r="J31" s="830"/>
      <c r="K31" s="830">
        <f t="shared" si="2"/>
        <v>0</v>
      </c>
    </row>
    <row r="32" spans="1:11" ht="15.75">
      <c r="A32" s="806" t="s">
        <v>192</v>
      </c>
      <c r="B32" s="806" t="str">
        <f t="shared" si="3"/>
        <v>Year 2016</v>
      </c>
      <c r="C32" s="806"/>
      <c r="D32" s="830">
        <f t="shared" si="4"/>
        <v>0</v>
      </c>
      <c r="E32" s="830"/>
      <c r="F32" s="831">
        <f t="shared" si="5"/>
        <v>2.96E-3</v>
      </c>
      <c r="G32" s="832">
        <f t="shared" si="0"/>
        <v>1</v>
      </c>
      <c r="H32" s="833">
        <f t="shared" si="1"/>
        <v>0</v>
      </c>
      <c r="I32" s="830"/>
      <c r="J32" s="830"/>
      <c r="K32" s="830">
        <f t="shared" si="2"/>
        <v>0</v>
      </c>
    </row>
    <row r="33" spans="1:11" ht="15.75">
      <c r="A33" s="806"/>
      <c r="B33" s="806"/>
      <c r="C33" s="806"/>
      <c r="D33" s="830"/>
      <c r="E33" s="830"/>
      <c r="F33" s="831"/>
      <c r="G33" s="806"/>
      <c r="H33" s="830">
        <f>SUM(H21:H32)</f>
        <v>0</v>
      </c>
      <c r="I33" s="830"/>
      <c r="J33" s="830"/>
      <c r="K33" s="834">
        <f>SUM(K21:K32)</f>
        <v>0</v>
      </c>
    </row>
    <row r="34" spans="1:11" ht="15.75">
      <c r="A34" s="806"/>
      <c r="B34" s="806"/>
      <c r="C34" s="806"/>
      <c r="D34" s="830"/>
      <c r="E34" s="830"/>
      <c r="F34" s="831"/>
      <c r="G34" s="806"/>
      <c r="H34" s="830"/>
      <c r="I34" s="830" t="s">
        <v>115</v>
      </c>
      <c r="J34" s="830"/>
      <c r="K34" s="518"/>
    </row>
    <row r="35" spans="1:11" ht="15.75">
      <c r="A35" s="806"/>
      <c r="B35" s="806"/>
      <c r="C35" s="806"/>
      <c r="D35" s="816"/>
      <c r="E35" s="816"/>
      <c r="F35" s="831"/>
      <c r="G35" s="806"/>
      <c r="H35" s="835" t="s">
        <v>563</v>
      </c>
      <c r="I35" s="830"/>
      <c r="J35" s="830"/>
      <c r="K35" s="830"/>
    </row>
    <row r="36" spans="1:11" ht="15.75">
      <c r="A36" s="806" t="s">
        <v>564</v>
      </c>
      <c r="B36" s="806" t="str">
        <f>"Year 2017"</f>
        <v>Year 2017</v>
      </c>
      <c r="C36" s="806"/>
      <c r="D36" s="816">
        <f>K33</f>
        <v>0</v>
      </c>
      <c r="E36" s="816"/>
      <c r="F36" s="831">
        <f>+F32</f>
        <v>2.96E-3</v>
      </c>
      <c r="G36" s="832">
        <v>12</v>
      </c>
      <c r="H36" s="830">
        <f>+G36*F36*D36</f>
        <v>0</v>
      </c>
      <c r="I36" s="830"/>
      <c r="J36" s="830"/>
      <c r="K36" s="834">
        <f>+D36+H36</f>
        <v>0</v>
      </c>
    </row>
    <row r="37" spans="1:11" ht="15.75">
      <c r="A37" s="806"/>
      <c r="B37" s="806"/>
      <c r="C37" s="806"/>
      <c r="D37" s="816"/>
      <c r="E37" s="816"/>
      <c r="F37" s="831"/>
      <c r="G37" s="806"/>
      <c r="H37" s="830"/>
      <c r="I37" s="830"/>
      <c r="J37" s="830"/>
      <c r="K37" s="830"/>
    </row>
    <row r="38" spans="1:11" ht="15.75">
      <c r="A38" s="836" t="s">
        <v>565</v>
      </c>
      <c r="B38" s="806"/>
      <c r="C38" s="806"/>
      <c r="D38" s="830"/>
      <c r="E38" s="830"/>
      <c r="F38" s="831"/>
      <c r="G38" s="806"/>
      <c r="H38" s="835" t="s">
        <v>559</v>
      </c>
      <c r="I38" s="830"/>
      <c r="J38" s="830"/>
      <c r="K38" s="830"/>
    </row>
    <row r="39" spans="1:11" ht="15.75">
      <c r="A39" s="806" t="s">
        <v>186</v>
      </c>
      <c r="B39" s="806" t="str">
        <f>"Year 2018"</f>
        <v>Year 2018</v>
      </c>
      <c r="C39" s="806"/>
      <c r="D39" s="816">
        <f>-K36</f>
        <v>0</v>
      </c>
      <c r="E39" s="816"/>
      <c r="F39" s="831">
        <f>+F32</f>
        <v>2.96E-3</v>
      </c>
      <c r="G39" s="806"/>
      <c r="H39" s="830">
        <f xml:space="preserve"> -F39*D39</f>
        <v>0</v>
      </c>
      <c r="I39" s="830">
        <f>PMT(F39,12,K$36)</f>
        <v>0</v>
      </c>
      <c r="J39" s="830"/>
      <c r="K39" s="830">
        <f>(+D39+D39*F39-I39)*-1</f>
        <v>0</v>
      </c>
    </row>
    <row r="40" spans="1:11" ht="15.75">
      <c r="A40" s="806" t="s">
        <v>560</v>
      </c>
      <c r="B40" s="806" t="str">
        <f>+B39</f>
        <v>Year 2018</v>
      </c>
      <c r="C40" s="806"/>
      <c r="D40" s="816">
        <f>-K39</f>
        <v>0</v>
      </c>
      <c r="E40" s="816"/>
      <c r="F40" s="831">
        <f>+F39</f>
        <v>2.96E-3</v>
      </c>
      <c r="G40" s="806"/>
      <c r="H40" s="830">
        <f xml:space="preserve"> -F40*D40</f>
        <v>0</v>
      </c>
      <c r="I40" s="830">
        <f>I39</f>
        <v>0</v>
      </c>
      <c r="J40" s="830"/>
      <c r="K40" s="830">
        <f t="shared" ref="K40:K50" si="6">(+D40+D40*F40-I40)*-1</f>
        <v>0</v>
      </c>
    </row>
    <row r="41" spans="1:11" ht="15.75">
      <c r="A41" s="806" t="s">
        <v>187</v>
      </c>
      <c r="B41" s="806" t="str">
        <f>+B40</f>
        <v>Year 2018</v>
      </c>
      <c r="C41" s="806"/>
      <c r="D41" s="816">
        <f t="shared" ref="D41:D50" si="7">-K40</f>
        <v>0</v>
      </c>
      <c r="E41" s="816"/>
      <c r="F41" s="831">
        <f t="shared" ref="F41:F50" si="8">+F40</f>
        <v>2.96E-3</v>
      </c>
      <c r="G41" s="806"/>
      <c r="H41" s="830">
        <f t="shared" ref="H41:H50" si="9" xml:space="preserve"> -F41*D41</f>
        <v>0</v>
      </c>
      <c r="I41" s="830">
        <f t="shared" ref="I41:I50" si="10">I40</f>
        <v>0</v>
      </c>
      <c r="J41" s="830"/>
      <c r="K41" s="830">
        <f t="shared" si="6"/>
        <v>0</v>
      </c>
    </row>
    <row r="42" spans="1:11" ht="15.75">
      <c r="A42" s="806" t="s">
        <v>188</v>
      </c>
      <c r="B42" s="806" t="str">
        <f>+B41</f>
        <v>Year 2018</v>
      </c>
      <c r="C42" s="806"/>
      <c r="D42" s="816">
        <f t="shared" si="7"/>
        <v>0</v>
      </c>
      <c r="E42" s="816"/>
      <c r="F42" s="831">
        <f t="shared" si="8"/>
        <v>2.96E-3</v>
      </c>
      <c r="G42" s="806"/>
      <c r="H42" s="830">
        <f t="shared" si="9"/>
        <v>0</v>
      </c>
      <c r="I42" s="830">
        <f t="shared" si="10"/>
        <v>0</v>
      </c>
      <c r="J42" s="830"/>
      <c r="K42" s="830">
        <f t="shared" si="6"/>
        <v>0</v>
      </c>
    </row>
    <row r="43" spans="1:11" ht="15.75">
      <c r="A43" s="806" t="s">
        <v>189</v>
      </c>
      <c r="B43" s="806" t="str">
        <f>+B42</f>
        <v>Year 2018</v>
      </c>
      <c r="C43" s="806"/>
      <c r="D43" s="816">
        <f t="shared" si="7"/>
        <v>0</v>
      </c>
      <c r="E43" s="816"/>
      <c r="F43" s="831">
        <f t="shared" si="8"/>
        <v>2.96E-3</v>
      </c>
      <c r="G43" s="806"/>
      <c r="H43" s="830">
        <f t="shared" si="9"/>
        <v>0</v>
      </c>
      <c r="I43" s="830">
        <f>I42</f>
        <v>0</v>
      </c>
      <c r="J43" s="830"/>
      <c r="K43" s="830">
        <f t="shared" si="6"/>
        <v>0</v>
      </c>
    </row>
    <row r="44" spans="1:11" ht="15.75">
      <c r="A44" s="806" t="s">
        <v>383</v>
      </c>
      <c r="B44" s="806" t="str">
        <f>B43</f>
        <v>Year 2018</v>
      </c>
      <c r="C44" s="518"/>
      <c r="D44" s="816">
        <f t="shared" si="7"/>
        <v>0</v>
      </c>
      <c r="E44" s="816"/>
      <c r="F44" s="831">
        <f t="shared" si="8"/>
        <v>2.96E-3</v>
      </c>
      <c r="G44" s="806"/>
      <c r="H44" s="830">
        <f t="shared" si="9"/>
        <v>0</v>
      </c>
      <c r="I44" s="830">
        <f t="shared" si="10"/>
        <v>0</v>
      </c>
      <c r="J44" s="830"/>
      <c r="K44" s="830">
        <f t="shared" si="6"/>
        <v>0</v>
      </c>
    </row>
    <row r="45" spans="1:11" ht="15.75">
      <c r="A45" s="806" t="s">
        <v>190</v>
      </c>
      <c r="B45" s="806" t="str">
        <f t="shared" ref="B45:B50" si="11">+B44</f>
        <v>Year 2018</v>
      </c>
      <c r="C45" s="806"/>
      <c r="D45" s="816">
        <f t="shared" si="7"/>
        <v>0</v>
      </c>
      <c r="E45" s="816"/>
      <c r="F45" s="831">
        <f t="shared" si="8"/>
        <v>2.96E-3</v>
      </c>
      <c r="G45" s="806"/>
      <c r="H45" s="830">
        <f t="shared" si="9"/>
        <v>0</v>
      </c>
      <c r="I45" s="830">
        <f t="shared" si="10"/>
        <v>0</v>
      </c>
      <c r="J45" s="830"/>
      <c r="K45" s="830">
        <f t="shared" si="6"/>
        <v>0</v>
      </c>
    </row>
    <row r="46" spans="1:11" ht="15.75">
      <c r="A46" s="806" t="s">
        <v>191</v>
      </c>
      <c r="B46" s="806" t="str">
        <f t="shared" si="11"/>
        <v>Year 2018</v>
      </c>
      <c r="C46" s="806"/>
      <c r="D46" s="816">
        <f t="shared" si="7"/>
        <v>0</v>
      </c>
      <c r="E46" s="816"/>
      <c r="F46" s="831">
        <f t="shared" si="8"/>
        <v>2.96E-3</v>
      </c>
      <c r="G46" s="806"/>
      <c r="H46" s="830">
        <f t="shared" si="9"/>
        <v>0</v>
      </c>
      <c r="I46" s="830">
        <f t="shared" si="10"/>
        <v>0</v>
      </c>
      <c r="J46" s="830"/>
      <c r="K46" s="830">
        <f t="shared" si="6"/>
        <v>0</v>
      </c>
    </row>
    <row r="47" spans="1:11" ht="15.75">
      <c r="A47" s="806" t="s">
        <v>193</v>
      </c>
      <c r="B47" s="806" t="str">
        <f t="shared" si="11"/>
        <v>Year 2018</v>
      </c>
      <c r="C47" s="806"/>
      <c r="D47" s="816">
        <f t="shared" si="7"/>
        <v>0</v>
      </c>
      <c r="E47" s="816"/>
      <c r="F47" s="831">
        <f t="shared" si="8"/>
        <v>2.96E-3</v>
      </c>
      <c r="G47" s="806"/>
      <c r="H47" s="830">
        <f t="shared" si="9"/>
        <v>0</v>
      </c>
      <c r="I47" s="830">
        <f>I46</f>
        <v>0</v>
      </c>
      <c r="J47" s="830"/>
      <c r="K47" s="830">
        <f t="shared" si="6"/>
        <v>0</v>
      </c>
    </row>
    <row r="48" spans="1:11" ht="15.75">
      <c r="A48" s="806" t="s">
        <v>561</v>
      </c>
      <c r="B48" s="806" t="str">
        <f t="shared" si="11"/>
        <v>Year 2018</v>
      </c>
      <c r="C48" s="806"/>
      <c r="D48" s="816">
        <f t="shared" si="7"/>
        <v>0</v>
      </c>
      <c r="E48" s="816"/>
      <c r="F48" s="831">
        <f t="shared" si="8"/>
        <v>2.96E-3</v>
      </c>
      <c r="G48" s="806"/>
      <c r="H48" s="830">
        <f t="shared" si="9"/>
        <v>0</v>
      </c>
      <c r="I48" s="830">
        <f t="shared" si="10"/>
        <v>0</v>
      </c>
      <c r="J48" s="830"/>
      <c r="K48" s="830">
        <f t="shared" si="6"/>
        <v>0</v>
      </c>
    </row>
    <row r="49" spans="1:11" ht="15.75">
      <c r="A49" s="806" t="s">
        <v>562</v>
      </c>
      <c r="B49" s="806" t="str">
        <f t="shared" si="11"/>
        <v>Year 2018</v>
      </c>
      <c r="C49" s="806"/>
      <c r="D49" s="816">
        <f t="shared" si="7"/>
        <v>0</v>
      </c>
      <c r="E49" s="816"/>
      <c r="F49" s="831">
        <f t="shared" si="8"/>
        <v>2.96E-3</v>
      </c>
      <c r="G49" s="806"/>
      <c r="H49" s="830">
        <f t="shared" si="9"/>
        <v>0</v>
      </c>
      <c r="I49" s="830">
        <f t="shared" si="10"/>
        <v>0</v>
      </c>
      <c r="J49" s="830"/>
      <c r="K49" s="830">
        <f t="shared" si="6"/>
        <v>0</v>
      </c>
    </row>
    <row r="50" spans="1:11" ht="15.75">
      <c r="A50" s="806" t="s">
        <v>192</v>
      </c>
      <c r="B50" s="806" t="str">
        <f t="shared" si="11"/>
        <v>Year 2018</v>
      </c>
      <c r="C50" s="806"/>
      <c r="D50" s="816">
        <f t="shared" si="7"/>
        <v>0</v>
      </c>
      <c r="E50" s="816"/>
      <c r="F50" s="831">
        <f t="shared" si="8"/>
        <v>2.96E-3</v>
      </c>
      <c r="G50" s="806"/>
      <c r="H50" s="833">
        <f t="shared" si="9"/>
        <v>0</v>
      </c>
      <c r="I50" s="830">
        <f t="shared" si="10"/>
        <v>0</v>
      </c>
      <c r="J50" s="830"/>
      <c r="K50" s="830">
        <f t="shared" si="6"/>
        <v>0</v>
      </c>
    </row>
    <row r="51" spans="1:11" ht="15.75">
      <c r="A51" s="806"/>
      <c r="B51" s="806"/>
      <c r="C51" s="806"/>
      <c r="D51" s="816"/>
      <c r="E51" s="816"/>
      <c r="F51" s="831"/>
      <c r="G51" s="806"/>
      <c r="H51" s="830">
        <f>SUM(H39:H50)</f>
        <v>0</v>
      </c>
      <c r="I51" s="830"/>
      <c r="J51" s="830"/>
      <c r="K51" s="830"/>
    </row>
    <row r="52" spans="1:11" ht="15">
      <c r="A52" s="518"/>
      <c r="B52" s="518"/>
      <c r="C52" s="518"/>
      <c r="D52" s="518"/>
      <c r="E52" s="518"/>
      <c r="F52" s="518"/>
      <c r="G52" s="518"/>
      <c r="H52" s="518"/>
      <c r="I52" s="837"/>
      <c r="J52" s="518"/>
      <c r="K52" s="518"/>
    </row>
    <row r="53" spans="1:11" ht="15.75">
      <c r="A53" s="806" t="s">
        <v>570</v>
      </c>
      <c r="B53" s="518"/>
      <c r="C53" s="518"/>
      <c r="D53" s="518"/>
      <c r="E53" s="518"/>
      <c r="F53" s="518"/>
      <c r="G53" s="518"/>
      <c r="H53" s="518"/>
      <c r="I53" s="838">
        <f>(SUM(I39:I50)*-1)</f>
        <v>0</v>
      </c>
      <c r="J53" s="518"/>
      <c r="K53" s="518"/>
    </row>
    <row r="54" spans="1:11" ht="15.75">
      <c r="A54" s="806" t="s">
        <v>566</v>
      </c>
      <c r="B54" s="518"/>
      <c r="C54" s="518"/>
      <c r="D54" s="518"/>
      <c r="E54" s="518"/>
      <c r="F54" s="518"/>
      <c r="G54" s="518"/>
      <c r="H54" s="518"/>
      <c r="I54" s="839">
        <f>+H10</f>
        <v>0</v>
      </c>
      <c r="J54" s="518"/>
      <c r="K54" s="518"/>
    </row>
    <row r="55" spans="1:11" ht="15.75">
      <c r="A55" s="806" t="s">
        <v>567</v>
      </c>
      <c r="B55" s="518"/>
      <c r="C55" s="518"/>
      <c r="D55" s="518"/>
      <c r="E55" s="518"/>
      <c r="F55" s="518"/>
      <c r="G55" s="518"/>
      <c r="H55" s="518"/>
      <c r="I55" s="838">
        <f>(I53+I54)</f>
        <v>0</v>
      </c>
      <c r="J55" s="518"/>
      <c r="K55" s="518"/>
    </row>
    <row r="56" spans="1:11">
      <c r="A56" s="415"/>
      <c r="B56" s="415"/>
      <c r="C56" s="415"/>
      <c r="D56" s="415"/>
      <c r="E56" s="415"/>
      <c r="F56" s="415"/>
      <c r="G56" s="415"/>
      <c r="H56" s="415"/>
      <c r="I56" s="415"/>
      <c r="J56" s="415"/>
      <c r="K56" s="415"/>
    </row>
    <row r="57" spans="1:11" ht="64.5" customHeight="1">
      <c r="A57" s="1492" t="s">
        <v>571</v>
      </c>
      <c r="B57" s="1492"/>
      <c r="C57" s="1492"/>
      <c r="D57" s="1492"/>
      <c r="E57" s="840"/>
      <c r="F57" s="840"/>
      <c r="G57" s="840"/>
      <c r="H57" s="840"/>
      <c r="I57" s="840"/>
      <c r="J57" s="840"/>
      <c r="K57" s="840"/>
    </row>
  </sheetData>
  <mergeCells count="5">
    <mergeCell ref="A1:K1"/>
    <mergeCell ref="A2:K2"/>
    <mergeCell ref="A3:K3"/>
    <mergeCell ref="D4:G4"/>
    <mergeCell ref="A57:D57"/>
  </mergeCells>
  <pageMargins left="0.7" right="0.7" top="0.75" bottom="0.75" header="0.3" footer="0.3"/>
  <pageSetup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23"/>
  <sheetViews>
    <sheetView topLeftCell="A4" zoomScale="75" zoomScaleNormal="100" zoomScaleSheetLayoutView="100" workbookViewId="0">
      <selection activeCell="D16" sqref="D16"/>
    </sheetView>
  </sheetViews>
  <sheetFormatPr defaultRowHeight="12.75"/>
  <cols>
    <col min="1" max="1" width="9.140625" style="30"/>
    <col min="2" max="2" width="0.85546875" style="34" customWidth="1"/>
    <col min="3" max="3" width="41.5703125" style="30" customWidth="1"/>
    <col min="4" max="4" width="34.42578125" style="30" bestFit="1" customWidth="1"/>
    <col min="5" max="5" width="23.140625" style="30" customWidth="1"/>
    <col min="6" max="6" width="3.140625" style="30" customWidth="1"/>
    <col min="7" max="7" width="24.5703125" style="30" customWidth="1"/>
    <col min="8" max="8" width="2.85546875" style="30" customWidth="1"/>
    <col min="9" max="9" width="20.85546875" style="30" customWidth="1"/>
    <col min="10" max="10" width="4.5703125" style="30" customWidth="1"/>
    <col min="11" max="11" width="18" style="30" bestFit="1" customWidth="1"/>
    <col min="12" max="12" width="20.42578125" style="30" customWidth="1"/>
    <col min="13" max="15" width="9.140625" style="30"/>
    <col min="16" max="16" width="10" style="30" bestFit="1" customWidth="1"/>
    <col min="17" max="17" width="17.5703125" style="30" customWidth="1"/>
    <col min="18" max="18" width="15.5703125" style="30" bestFit="1" customWidth="1"/>
    <col min="19" max="16384" width="9.140625" style="30"/>
  </cols>
  <sheetData>
    <row r="1" spans="1:15" ht="15.75">
      <c r="A1" s="899" t="s">
        <v>115</v>
      </c>
    </row>
    <row r="2" spans="1:15" ht="15.75">
      <c r="A2" s="899" t="s">
        <v>115</v>
      </c>
    </row>
    <row r="3" spans="1:15" ht="15">
      <c r="A3" s="1399" t="s">
        <v>388</v>
      </c>
      <c r="B3" s="1399"/>
      <c r="C3" s="1399"/>
      <c r="D3" s="1399"/>
      <c r="E3" s="1399"/>
      <c r="F3" s="1399"/>
      <c r="G3" s="1399"/>
      <c r="H3" s="1399"/>
      <c r="I3" s="1399"/>
      <c r="J3" s="38"/>
      <c r="K3" s="38"/>
    </row>
    <row r="4" spans="1:15" ht="15">
      <c r="A4" s="1400" t="str">
        <f>"Cost of Service Formula Rate Using Actual/Projected FF1 Balances"</f>
        <v>Cost of Service Formula Rate Using Actual/Projected FF1 Balances</v>
      </c>
      <c r="B4" s="1400"/>
      <c r="C4" s="1400"/>
      <c r="D4" s="1400"/>
      <c r="E4" s="1400"/>
      <c r="F4" s="1400"/>
      <c r="G4" s="1400"/>
      <c r="H4" s="1400"/>
      <c r="I4" s="1400"/>
      <c r="J4" s="97"/>
      <c r="K4" s="97"/>
    </row>
    <row r="5" spans="1:15" ht="15">
      <c r="A5" s="1400" t="s">
        <v>472</v>
      </c>
      <c r="B5" s="1400"/>
      <c r="C5" s="1400"/>
      <c r="D5" s="1400"/>
      <c r="E5" s="1400"/>
      <c r="F5" s="1400"/>
      <c r="G5" s="1400"/>
      <c r="H5" s="1400"/>
      <c r="I5" s="1400"/>
      <c r="J5" s="96"/>
      <c r="K5" s="96"/>
    </row>
    <row r="6" spans="1:15" ht="15">
      <c r="A6" s="1411" t="str">
        <f>TCOS!F9</f>
        <v>Appalachian Power Company</v>
      </c>
      <c r="B6" s="1411"/>
      <c r="C6" s="1411"/>
      <c r="D6" s="1411"/>
      <c r="E6" s="1411"/>
      <c r="F6" s="1411"/>
      <c r="G6" s="1411"/>
      <c r="H6" s="1411"/>
      <c r="I6" s="1411"/>
      <c r="J6" s="4"/>
      <c r="K6" s="4"/>
      <c r="L6"/>
      <c r="M6"/>
    </row>
    <row r="7" spans="1:15">
      <c r="C7" s="32"/>
      <c r="D7" s="32"/>
    </row>
    <row r="8" spans="1:15">
      <c r="C8" s="8" t="s">
        <v>163</v>
      </c>
      <c r="D8" s="8" t="s">
        <v>164</v>
      </c>
      <c r="E8" s="8" t="s">
        <v>165</v>
      </c>
      <c r="G8" s="8" t="s">
        <v>166</v>
      </c>
      <c r="I8" s="8" t="s">
        <v>84</v>
      </c>
      <c r="J8" s="8"/>
      <c r="K8" s="8"/>
      <c r="L8" s="8"/>
      <c r="M8"/>
      <c r="N8"/>
      <c r="O8"/>
    </row>
    <row r="9" spans="1:15">
      <c r="A9" s="95"/>
      <c r="I9" s="14"/>
      <c r="J9"/>
      <c r="K9"/>
      <c r="L9"/>
      <c r="M9"/>
      <c r="N9"/>
      <c r="O9"/>
    </row>
    <row r="10" spans="1:15" ht="12.75" customHeight="1">
      <c r="A10" s="12" t="s">
        <v>170</v>
      </c>
      <c r="C10" s="33"/>
      <c r="D10" s="33"/>
      <c r="E10" s="1409" t="str">
        <f>"Balance @ December 31, "&amp;TCOS!L4&amp;""</f>
        <v>Balance @ December 31, 2018</v>
      </c>
      <c r="F10" s="139"/>
      <c r="G10" s="1409" t="str">
        <f>"Balance @ December 31, "&amp;TCOS!L4-1&amp;""</f>
        <v>Balance @ December 31, 2017</v>
      </c>
      <c r="H10" s="139"/>
      <c r="I10" s="1412" t="str">
        <f>"Average Balance for "&amp;TCOS!L4&amp;""</f>
        <v>Average Balance for 2018</v>
      </c>
      <c r="J10"/>
      <c r="K10"/>
      <c r="L10"/>
      <c r="M10"/>
      <c r="N10"/>
      <c r="O10"/>
    </row>
    <row r="11" spans="1:15">
      <c r="A11" s="12" t="s">
        <v>106</v>
      </c>
      <c r="B11" s="11"/>
      <c r="C11" s="12" t="s">
        <v>168</v>
      </c>
      <c r="D11" s="12" t="s">
        <v>207</v>
      </c>
      <c r="E11" s="1410"/>
      <c r="F11" s="87"/>
      <c r="G11" s="1410"/>
      <c r="H11" s="228"/>
      <c r="I11" s="1410"/>
      <c r="J11"/>
      <c r="K11"/>
      <c r="L11"/>
      <c r="M11"/>
      <c r="N11"/>
      <c r="O11"/>
    </row>
    <row r="12" spans="1:15">
      <c r="A12" s="95"/>
      <c r="C12" s="32"/>
      <c r="D12" s="32"/>
      <c r="G12" s="240"/>
      <c r="J12" s="24"/>
      <c r="K12" s="24"/>
    </row>
    <row r="13" spans="1:15">
      <c r="A13" s="95"/>
      <c r="C13" s="32"/>
      <c r="D13" s="32"/>
      <c r="J13" s="24"/>
      <c r="K13" s="24"/>
    </row>
    <row r="14" spans="1:15">
      <c r="A14" s="95"/>
      <c r="C14" s="32"/>
      <c r="D14" s="32"/>
      <c r="J14" s="24"/>
      <c r="K14" s="24"/>
    </row>
    <row r="15" spans="1:15" ht="15.75">
      <c r="A15" s="95">
        <v>1</v>
      </c>
      <c r="C15" s="59" t="s">
        <v>510</v>
      </c>
      <c r="D15" s="59"/>
      <c r="J15" s="24"/>
      <c r="K15" s="24"/>
    </row>
    <row r="16" spans="1:15" ht="15.75">
      <c r="A16" s="95"/>
      <c r="C16" s="59"/>
      <c r="D16" s="59"/>
      <c r="H16"/>
      <c r="J16" s="24"/>
      <c r="K16" s="24"/>
    </row>
    <row r="17" spans="1:17">
      <c r="A17" s="95">
        <f>+A15+1</f>
        <v>2</v>
      </c>
      <c r="C17" s="61" t="s">
        <v>516</v>
      </c>
      <c r="D17" s="86" t="s">
        <v>518</v>
      </c>
      <c r="E17" s="851">
        <f>SUM('WS B-1 - Actual Stmt. AF'!Q23:S23)</f>
        <v>267868298</v>
      </c>
      <c r="G17" s="851">
        <f>SUM('WS B-1 - Actual Stmt. AF'!M23:O23)</f>
        <v>289979891</v>
      </c>
      <c r="H17"/>
      <c r="I17" s="135">
        <f>IF(G17="",0,(E17+G17)/2)</f>
        <v>278924094.5</v>
      </c>
      <c r="J17" s="24"/>
      <c r="K17" s="24"/>
    </row>
    <row r="18" spans="1:17">
      <c r="A18" s="95">
        <f>+A17+1</f>
        <v>3</v>
      </c>
      <c r="C18" s="61" t="s">
        <v>520</v>
      </c>
      <c r="D18" s="305" t="str">
        <f>"WS B-1 - Actual Stmt. AF Ln. " &amp;'WS B-1 - Actual Stmt. AF'!A24&amp;" (Note 1)"</f>
        <v>WS B-1 - Actual Stmt. AF Ln. 4 (Note 1)</v>
      </c>
      <c r="E18" s="851">
        <f>SUM('WS B-1 - Actual Stmt. AF'!Q24:S24)</f>
        <v>0</v>
      </c>
      <c r="G18" s="851">
        <v>0</v>
      </c>
      <c r="H18"/>
      <c r="I18" s="135">
        <f>IF(G18="",0,(E18+G18)/2)</f>
        <v>0</v>
      </c>
      <c r="J18" s="24"/>
      <c r="K18" s="24"/>
    </row>
    <row r="19" spans="1:17" ht="15">
      <c r="A19" s="95">
        <f>+A18+1</f>
        <v>4</v>
      </c>
      <c r="C19" s="61" t="s">
        <v>521</v>
      </c>
      <c r="D19" s="305" t="str">
        <f>"WS B-1 - Actual Stmt. AF Ln. " &amp;'WS B-1 - Actual Stmt. AF'!A23&amp;" (Note 1)"</f>
        <v>WS B-1 - Actual Stmt. AF Ln. 3 (Note 1)</v>
      </c>
      <c r="E19" s="852">
        <f>SUM('WS B-1 - Actual Stmt. AF'!Q23:S23)-SUM('WS B-1 - Actual Stmt. AF'!Q24:S24)</f>
        <v>267868298</v>
      </c>
      <c r="G19" s="852">
        <f>SUM('WS B-1 - Actual Stmt. AF'!M23:O23)-SUM('WS B-1 - Actual Stmt. AF'!M24:O24)</f>
        <v>289979891</v>
      </c>
      <c r="I19" s="215">
        <f>IF(G19="",0,(E19+G19)/2)</f>
        <v>278924094.5</v>
      </c>
      <c r="J19" s="24"/>
      <c r="K19" s="24"/>
    </row>
    <row r="20" spans="1:17">
      <c r="A20" s="95">
        <f>+A19+1</f>
        <v>5</v>
      </c>
      <c r="C20" s="61" t="s">
        <v>517</v>
      </c>
      <c r="D20" s="140" t="str">
        <f>"Ln "&amp;A17&amp;" - ln "&amp;A18&amp;" - ln "&amp;A19&amp;""</f>
        <v>Ln 2 - ln 3 - ln 4</v>
      </c>
      <c r="E20" s="25">
        <f>+E17-E18-E19</f>
        <v>0</v>
      </c>
      <c r="G20" s="25">
        <f>+G17-G18-G19</f>
        <v>0</v>
      </c>
      <c r="I20" s="135">
        <f>+I17-I18-I19</f>
        <v>0</v>
      </c>
      <c r="J20" s="24"/>
      <c r="K20" s="24"/>
    </row>
    <row r="21" spans="1:17">
      <c r="A21" s="95"/>
      <c r="C21" s="61"/>
      <c r="D21" s="140"/>
      <c r="J21" s="24"/>
      <c r="K21" s="24"/>
    </row>
    <row r="22" spans="1:17">
      <c r="A22" s="95"/>
      <c r="C22" s="61"/>
      <c r="D22" s="140"/>
      <c r="J22" s="24"/>
      <c r="K22" s="25"/>
      <c r="L22" s="25"/>
      <c r="M22" s="25"/>
      <c r="N22" s="25"/>
      <c r="O22" s="25"/>
    </row>
    <row r="23" spans="1:17" ht="15.75">
      <c r="A23" s="95">
        <f>+A20+1</f>
        <v>6</v>
      </c>
      <c r="C23" s="59" t="s">
        <v>511</v>
      </c>
      <c r="D23" s="140"/>
      <c r="J23" s="24"/>
      <c r="K23" s="25"/>
      <c r="L23" s="25"/>
      <c r="M23" s="25"/>
      <c r="N23" s="25"/>
      <c r="O23" s="25"/>
    </row>
    <row r="24" spans="1:17">
      <c r="A24" s="95"/>
      <c r="C24" s="61"/>
      <c r="D24" s="140"/>
      <c r="J24" s="24"/>
      <c r="K24" s="25"/>
      <c r="L24" s="25"/>
      <c r="M24" s="25"/>
      <c r="N24" s="25"/>
      <c r="O24" s="25"/>
    </row>
    <row r="25" spans="1:17">
      <c r="A25" s="95">
        <f>+A23+1</f>
        <v>7</v>
      </c>
      <c r="C25" s="61" t="s">
        <v>516</v>
      </c>
      <c r="D25" s="86" t="s">
        <v>450</v>
      </c>
      <c r="E25" s="1110">
        <f>SUM('WS B-1 - Actual Stmt. AF'!Q77:S77)</f>
        <v>2013440023.0099998</v>
      </c>
      <c r="G25" s="896">
        <f>SUM('WS B-1 - Actual Stmt. AF'!M77:O77)</f>
        <v>1982378026.6499996</v>
      </c>
      <c r="H25"/>
      <c r="I25" s="135">
        <f>IF(G25="",0,(E25+G25)/2)</f>
        <v>1997909024.8299997</v>
      </c>
      <c r="J25" s="24"/>
      <c r="K25" s="25"/>
      <c r="L25" s="25"/>
      <c r="M25" s="25"/>
      <c r="N25" s="25"/>
      <c r="O25" s="25"/>
    </row>
    <row r="26" spans="1:17">
      <c r="A26" s="95">
        <f>+A25+1</f>
        <v>8</v>
      </c>
      <c r="C26" s="61" t="s">
        <v>520</v>
      </c>
      <c r="D26" s="305" t="str">
        <f>"WS B-1 - Actual Stmt. AF Ln. " &amp;'WS B-1 - Actual Stmt. AF'!A78&amp;" (Note 1)"</f>
        <v>WS B-1 - Actual Stmt. AF Ln. 7 (Note 1)</v>
      </c>
      <c r="E26" s="1110">
        <f>'WS B-1 - Actual Stmt. AF'!D78</f>
        <v>11571948.35</v>
      </c>
      <c r="G26" s="896">
        <f>'WS B-1 - Actual Stmt. AF'!C78</f>
        <v>20469117.870000001</v>
      </c>
      <c r="H26"/>
      <c r="I26" s="135">
        <f>IF(G26="",0,(E26+G26)/2)</f>
        <v>16020533.109999999</v>
      </c>
      <c r="J26" s="24"/>
      <c r="K26" s="25"/>
      <c r="L26" s="25"/>
      <c r="M26" s="25"/>
      <c r="N26" s="25"/>
      <c r="O26" s="25"/>
    </row>
    <row r="27" spans="1:17" ht="15">
      <c r="A27" s="95">
        <f>+A26+1</f>
        <v>9</v>
      </c>
      <c r="C27" s="61" t="s">
        <v>521</v>
      </c>
      <c r="D27" s="305" t="str">
        <f>"WS B-1 - Actual Stmt. AF Ln. " &amp;'WS B-1 - Actual Stmt. AF'!A77&amp;" (Note 1)"</f>
        <v>WS B-1 - Actual Stmt. AF Ln. 6 (Note 1)</v>
      </c>
      <c r="E27" s="897">
        <f>('WS B-1 - Actual Stmt. AF'!Q77+'WS B-1 - Actual Stmt. AF'!S77)-('WS B-1 - Actual Stmt. AF'!Q78+'WS B-1 - Actual Stmt. AF'!S78)</f>
        <v>1436977017.5899997</v>
      </c>
      <c r="G27" s="897">
        <f>('WS B-1 - Actual Stmt. AF'!M77+'WS B-1 - Actual Stmt. AF'!O77)-('WS B-1 - Actual Stmt. AF'!M78+'WS B-1 - Actual Stmt. AF'!O78)</f>
        <v>1429234352.3599997</v>
      </c>
      <c r="I27" s="215">
        <f>IF(G27="",0,(E27+G27)/2)</f>
        <v>1433105684.9749997</v>
      </c>
      <c r="J27" s="24"/>
      <c r="K27" s="25"/>
      <c r="L27" s="25"/>
      <c r="M27" s="25"/>
      <c r="N27" s="25"/>
      <c r="O27" s="25"/>
    </row>
    <row r="28" spans="1:17">
      <c r="A28" s="95">
        <f>+A27+1</f>
        <v>10</v>
      </c>
      <c r="C28" s="61" t="s">
        <v>517</v>
      </c>
      <c r="D28" s="140" t="str">
        <f>"Ln "&amp;A25&amp;" - ln "&amp;A26&amp;" - ln "&amp;A27&amp;""</f>
        <v>Ln 7 - ln 8 - ln 9</v>
      </c>
      <c r="E28" s="25">
        <f>+E25-E26-E27</f>
        <v>564891057.07000017</v>
      </c>
      <c r="G28" s="25">
        <f>+G25-G26-G27</f>
        <v>532674556.42000008</v>
      </c>
      <c r="I28" s="135">
        <f>+I25-I26-I27</f>
        <v>548782806.74500012</v>
      </c>
      <c r="J28" s="24"/>
      <c r="K28" s="25"/>
      <c r="L28" s="25"/>
      <c r="M28" s="25"/>
      <c r="N28" s="25"/>
      <c r="O28" s="25"/>
    </row>
    <row r="29" spans="1:17">
      <c r="A29" s="95"/>
      <c r="C29" s="61"/>
      <c r="D29" s="140"/>
      <c r="J29" s="24"/>
      <c r="K29" s="25"/>
      <c r="L29" s="25"/>
      <c r="M29" s="25"/>
      <c r="N29" s="25"/>
      <c r="O29" s="25"/>
      <c r="P29" s="25"/>
      <c r="Q29" s="25"/>
    </row>
    <row r="30" spans="1:17">
      <c r="A30" s="95"/>
      <c r="C30" s="61"/>
      <c r="D30" s="140"/>
      <c r="E30" s="137"/>
      <c r="G30" s="137"/>
      <c r="J30" s="24"/>
      <c r="K30" s="25"/>
      <c r="L30" s="25"/>
      <c r="M30" s="25"/>
      <c r="N30" s="25"/>
      <c r="O30" s="25"/>
      <c r="P30" s="25"/>
      <c r="Q30" s="25"/>
    </row>
    <row r="31" spans="1:17" ht="15.75">
      <c r="A31" s="95">
        <f>+A28+1</f>
        <v>11</v>
      </c>
      <c r="C31" s="59" t="s">
        <v>512</v>
      </c>
      <c r="D31" s="140"/>
      <c r="J31" s="24"/>
      <c r="K31" s="25"/>
      <c r="L31" s="25"/>
      <c r="M31" s="25"/>
      <c r="N31" s="25"/>
      <c r="O31" s="25"/>
      <c r="P31" s="25"/>
      <c r="Q31" s="25"/>
    </row>
    <row r="32" spans="1:17" ht="15.75">
      <c r="A32" s="95"/>
      <c r="C32" s="59"/>
      <c r="D32" s="140"/>
      <c r="J32" s="24"/>
      <c r="K32" s="25"/>
      <c r="L32" s="25"/>
      <c r="M32" s="25"/>
      <c r="N32" s="25"/>
      <c r="O32" s="25"/>
      <c r="P32" s="25"/>
      <c r="Q32" s="25"/>
    </row>
    <row r="33" spans="1:17">
      <c r="A33" s="95">
        <f>+A31+1</f>
        <v>12</v>
      </c>
      <c r="C33" s="61" t="s">
        <v>516</v>
      </c>
      <c r="D33" s="86" t="s">
        <v>519</v>
      </c>
      <c r="E33" s="896">
        <f>SUM('WS B-1 - Actual Stmt. AF'!Q193:S193)</f>
        <v>280715578.63</v>
      </c>
      <c r="G33" s="896">
        <f>SUM('WS B-1 - Actual Stmt. AF'!M193:O193)</f>
        <v>426174211.21000004</v>
      </c>
      <c r="H33"/>
      <c r="I33" s="135">
        <f>IF(G33="",0,(E33+G33)/2)</f>
        <v>353444894.92000002</v>
      </c>
      <c r="J33" s="24"/>
      <c r="K33" s="25"/>
      <c r="L33" s="25"/>
      <c r="M33" s="25"/>
      <c r="N33" s="25"/>
      <c r="O33" s="25"/>
      <c r="P33" s="25"/>
      <c r="Q33" s="25"/>
    </row>
    <row r="34" spans="1:17">
      <c r="A34" s="95">
        <f>+A33+1</f>
        <v>13</v>
      </c>
      <c r="C34" s="61" t="s">
        <v>520</v>
      </c>
      <c r="D34" s="305" t="str">
        <f>"WS B-1 - Actual Stmt. AF Ln. " &amp;'WS B-1 - Actual Stmt. AF'!A194&amp;" (Note 1)"</f>
        <v>WS B-1 - Actual Stmt. AF Ln. 13 (Note 1)</v>
      </c>
      <c r="E34" s="896">
        <f>SUM('WS B-1 - Actual Stmt. AF'!Q194:S194)</f>
        <v>7415018.29</v>
      </c>
      <c r="G34" s="896">
        <f>SUM('WS B-1 - Actual Stmt. AF'!M194:O194)</f>
        <v>13893212.239999998</v>
      </c>
      <c r="H34"/>
      <c r="I34" s="135">
        <f>IF(G34="",0,(E34+G34)/2)</f>
        <v>10654115.264999999</v>
      </c>
      <c r="J34" s="24"/>
      <c r="K34" s="1078"/>
      <c r="L34" s="1078"/>
      <c r="M34" s="1078"/>
      <c r="N34" s="1078"/>
      <c r="O34" s="1078"/>
    </row>
    <row r="35" spans="1:17" ht="15">
      <c r="A35" s="95">
        <f>+A34+1</f>
        <v>14</v>
      </c>
      <c r="C35" s="61" t="s">
        <v>521</v>
      </c>
      <c r="D35" s="305" t="str">
        <f>"WS B-1 - Actual Stmt. AF Ln. " &amp;'WS B-1 - Actual Stmt. AF'!A193&amp;" (Note 1)"</f>
        <v>WS B-1 - Actual Stmt. AF Ln. 12 (Note 1)</v>
      </c>
      <c r="E35" s="897">
        <f>('WS B-1 - Actual Stmt. AF'!Q193+'WS B-1 - Actual Stmt. AF'!S193)-('WS B-1 - Actual Stmt. AF'!Q194+'WS B-1 - Actual Stmt. AF'!S194)</f>
        <v>268340778.53</v>
      </c>
      <c r="G35" s="897">
        <f>('WS B-1 - Actual Stmt. AF'!M193+'WS B-1 - Actual Stmt. AF'!O193)-('WS B-1 - Actual Stmt. AF'!M194+'WS B-1 - Actual Stmt. AF'!O194)</f>
        <v>375398956.03000003</v>
      </c>
      <c r="I35" s="215">
        <f>IF(G35="",0,(E35+G35)/2)</f>
        <v>321869867.28000003</v>
      </c>
      <c r="J35" s="24"/>
      <c r="K35" s="24"/>
    </row>
    <row r="36" spans="1:17">
      <c r="A36" s="95">
        <f>+A35+1</f>
        <v>15</v>
      </c>
      <c r="C36" s="61" t="s">
        <v>517</v>
      </c>
      <c r="D36" s="140" t="str">
        <f>"Ln "&amp;A33&amp;" - ln "&amp;A34&amp;" - ln "&amp;A35&amp;""</f>
        <v>Ln 12 - ln 13 - ln 14</v>
      </c>
      <c r="E36" s="25">
        <f>+E33-E34-E35</f>
        <v>4959781.8099999726</v>
      </c>
      <c r="G36" s="25">
        <f>+G33-G34-G35</f>
        <v>36882042.939999998</v>
      </c>
      <c r="I36" s="135">
        <f>+I33-I34-I35</f>
        <v>20920912.375</v>
      </c>
      <c r="J36" s="24"/>
      <c r="K36" s="24"/>
    </row>
    <row r="37" spans="1:17" ht="15.75">
      <c r="A37" s="95"/>
      <c r="C37" s="59"/>
      <c r="D37" s="140"/>
      <c r="J37" s="24"/>
      <c r="K37" s="25"/>
      <c r="L37" s="25"/>
      <c r="M37" s="25"/>
      <c r="N37" s="25"/>
      <c r="O37" s="25"/>
      <c r="P37" s="25"/>
    </row>
    <row r="38" spans="1:17">
      <c r="A38" s="95"/>
      <c r="C38" s="61"/>
      <c r="D38" s="140"/>
      <c r="J38" s="24"/>
      <c r="K38" s="25"/>
      <c r="L38" s="25"/>
      <c r="M38" s="25"/>
      <c r="N38" s="25"/>
      <c r="O38" s="25"/>
      <c r="P38" s="25"/>
    </row>
    <row r="39" spans="1:17" ht="15.75">
      <c r="A39" s="95">
        <f>+A36+1</f>
        <v>16</v>
      </c>
      <c r="C39" s="59" t="s">
        <v>513</v>
      </c>
      <c r="D39" s="140"/>
      <c r="J39" s="24"/>
      <c r="K39" s="25"/>
      <c r="L39" s="25"/>
      <c r="M39" s="25"/>
      <c r="N39" s="25"/>
      <c r="O39" s="25"/>
      <c r="P39" s="25"/>
    </row>
    <row r="40" spans="1:17">
      <c r="A40" s="95"/>
      <c r="C40" s="61"/>
      <c r="D40" s="140"/>
      <c r="J40" s="24"/>
      <c r="K40" s="25"/>
      <c r="L40" s="25"/>
      <c r="M40" s="25"/>
      <c r="N40" s="25"/>
      <c r="O40" s="25"/>
      <c r="P40" s="25"/>
    </row>
    <row r="41" spans="1:17">
      <c r="A41" s="95">
        <f>+A39+1</f>
        <v>17</v>
      </c>
      <c r="C41" s="61" t="s">
        <v>516</v>
      </c>
      <c r="D41" s="86" t="s">
        <v>515</v>
      </c>
      <c r="E41" s="896">
        <f>SUM('WS B-2 - Actual Stmt. AG'!Q115:S115)</f>
        <v>183767135.61000001</v>
      </c>
      <c r="G41" s="896">
        <f>SUM('WS B-2 - Actual Stmt. AG'!M115:O115)</f>
        <v>299354117.84999996</v>
      </c>
      <c r="H41"/>
      <c r="I41" s="135">
        <f>IF(G41="",0,(E41+G41)/2)</f>
        <v>241560626.72999999</v>
      </c>
      <c r="J41" s="24"/>
      <c r="K41" s="25"/>
      <c r="L41" s="25"/>
      <c r="M41" s="25"/>
      <c r="N41" s="25"/>
      <c r="O41" s="25"/>
    </row>
    <row r="42" spans="1:17">
      <c r="A42" s="95">
        <f>+A41+1</f>
        <v>18</v>
      </c>
      <c r="C42" s="61" t="s">
        <v>520</v>
      </c>
      <c r="D42" s="305" t="str">
        <f>"WS B-2 - Actual Stmt. AG Ln. " &amp;'WS B-2 - Actual Stmt. AG'!A116&amp;" (Note 1)"</f>
        <v>WS B-2 - Actual Stmt. AG Ln. 4 (Note 1)</v>
      </c>
      <c r="E42" s="896">
        <f>SUM('WS B-2 - Actual Stmt. AG'!Q116:S116)</f>
        <v>24358599.690000001</v>
      </c>
      <c r="G42" s="896">
        <f>SUM('WS B-2 - Actual Stmt. AG'!M116:O116)</f>
        <v>43772374.339999996</v>
      </c>
      <c r="H42"/>
      <c r="I42" s="135">
        <f>IF(G42="",0,(E42+G42)/2)</f>
        <v>34065487.015000001</v>
      </c>
      <c r="J42" s="24"/>
      <c r="K42" s="25"/>
      <c r="L42" s="25"/>
      <c r="M42" s="25"/>
      <c r="N42" s="25"/>
      <c r="O42" s="25"/>
    </row>
    <row r="43" spans="1:17" ht="15">
      <c r="A43" s="95">
        <f>+A42+1</f>
        <v>19</v>
      </c>
      <c r="C43" s="61" t="s">
        <v>521</v>
      </c>
      <c r="D43" s="305" t="str">
        <f>"WS B-2 - Actual Stmt. AG Ln. " &amp;'WS B-2 - Actual Stmt. AG'!A115&amp;" (Note 1)"</f>
        <v>WS B-2 - Actual Stmt. AG Ln. 3 (Note 1)</v>
      </c>
      <c r="E43" s="897">
        <f>('WS B-2 - Actual Stmt. AG'!Q115+'WS B-2 - Actual Stmt. AG'!S115)-('WS B-2 - Actual Stmt. AG'!Q116+'WS B-2 - Actual Stmt. AG'!S116)</f>
        <v>119917159.14</v>
      </c>
      <c r="G43" s="897">
        <f>('WS B-2 - Actual Stmt. AG'!M115+'WS B-2 - Actual Stmt. AG'!O115)-('WS B-2 - Actual Stmt. AG'!M116+'WS B-2 - Actual Stmt. AG'!O116)</f>
        <v>191559675.46000001</v>
      </c>
      <c r="I43" s="215">
        <f>IF(G43="",0,(E43+G43)/2)</f>
        <v>155738417.30000001</v>
      </c>
      <c r="J43" s="24"/>
      <c r="K43" s="25"/>
      <c r="L43" s="25"/>
      <c r="M43" s="25"/>
      <c r="N43" s="25"/>
      <c r="O43" s="25"/>
    </row>
    <row r="44" spans="1:17">
      <c r="A44" s="95">
        <f>+A43+1</f>
        <v>20</v>
      </c>
      <c r="C44" s="61" t="s">
        <v>517</v>
      </c>
      <c r="D44" s="140" t="str">
        <f>"Ln "&amp;A41&amp;" - ln "&amp;A42&amp;" - ln "&amp;A43&amp;""</f>
        <v>Ln 17 - ln 18 - ln 19</v>
      </c>
      <c r="E44" s="25">
        <f>+E41-E42-E43</f>
        <v>39491376.780000016</v>
      </c>
      <c r="G44" s="25">
        <f>+G41-G42-G43</f>
        <v>64022068.049999952</v>
      </c>
      <c r="I44" s="135">
        <f>+I41-I42-I43</f>
        <v>51756722.414999962</v>
      </c>
      <c r="J44" s="24"/>
      <c r="K44" s="24"/>
    </row>
    <row r="45" spans="1:17">
      <c r="A45" s="95"/>
      <c r="C45" s="61"/>
      <c r="D45" s="140"/>
      <c r="J45" s="24"/>
      <c r="K45" s="24"/>
    </row>
    <row r="46" spans="1:17">
      <c r="A46" s="95"/>
      <c r="C46" s="61"/>
      <c r="D46" s="140"/>
      <c r="J46" s="24"/>
      <c r="K46" s="24"/>
    </row>
    <row r="47" spans="1:17" ht="15.75">
      <c r="A47" s="95">
        <f>+A44+1</f>
        <v>21</v>
      </c>
      <c r="C47" s="59" t="s">
        <v>514</v>
      </c>
      <c r="D47" s="140"/>
      <c r="J47" s="24"/>
      <c r="K47" s="24"/>
    </row>
    <row r="48" spans="1:17">
      <c r="A48" s="95"/>
      <c r="C48" s="61"/>
      <c r="D48" s="140"/>
      <c r="J48" s="24"/>
      <c r="K48" s="25"/>
      <c r="L48" s="25"/>
      <c r="M48" s="25"/>
      <c r="N48" s="25"/>
      <c r="O48" s="25"/>
    </row>
    <row r="49" spans="1:15">
      <c r="A49" s="95">
        <f>+A47+1</f>
        <v>22</v>
      </c>
      <c r="C49" s="61" t="s">
        <v>522</v>
      </c>
      <c r="D49" s="86" t="s">
        <v>471</v>
      </c>
      <c r="E49" s="851">
        <f>SUM('WS B-1 - Actual Stmt. AF'!Q207:S207)</f>
        <v>979631</v>
      </c>
      <c r="G49" s="851">
        <f>SUM('WS B-1 - Actual Stmt. AF'!M207:O207)</f>
        <v>850579</v>
      </c>
      <c r="H49"/>
      <c r="I49" s="135">
        <f>IF(G49="",0,(E49+G49)/2)</f>
        <v>915105</v>
      </c>
      <c r="J49" s="24"/>
      <c r="K49" s="25"/>
      <c r="L49" s="25"/>
      <c r="M49" s="25"/>
      <c r="N49" s="25"/>
      <c r="O49" s="25"/>
    </row>
    <row r="50" spans="1:15" ht="15">
      <c r="A50" s="95">
        <f>+A49+1</f>
        <v>23</v>
      </c>
      <c r="C50" s="61" t="s">
        <v>523</v>
      </c>
      <c r="D50" s="305" t="s">
        <v>67</v>
      </c>
      <c r="E50" s="852">
        <v>0</v>
      </c>
      <c r="G50" s="852">
        <v>0</v>
      </c>
      <c r="H50"/>
      <c r="I50" s="215">
        <f>IF(G50="",0,(E50+G50)/2)</f>
        <v>0</v>
      </c>
      <c r="J50" s="24"/>
      <c r="K50" s="25"/>
      <c r="L50" s="25"/>
      <c r="M50" s="25"/>
      <c r="N50" s="25"/>
      <c r="O50" s="25"/>
    </row>
    <row r="51" spans="1:15">
      <c r="A51" s="95">
        <f>+A50+1</f>
        <v>24</v>
      </c>
      <c r="C51" s="61" t="s">
        <v>389</v>
      </c>
      <c r="D51" s="140" t="str">
        <f>"Ln "&amp;A49&amp;" - ln "&amp;A50&amp;""</f>
        <v>Ln 22 - ln 23</v>
      </c>
      <c r="E51" s="25">
        <f>+E49-E50</f>
        <v>979631</v>
      </c>
      <c r="G51" s="25">
        <f>+G49-G50</f>
        <v>850579</v>
      </c>
      <c r="H51"/>
      <c r="I51" s="135">
        <f>+I49-I50</f>
        <v>915105</v>
      </c>
      <c r="J51" s="24"/>
      <c r="K51" s="25"/>
      <c r="L51" s="25"/>
      <c r="M51" s="25"/>
      <c r="N51" s="25"/>
      <c r="O51" s="25"/>
    </row>
    <row r="52" spans="1:15">
      <c r="A52" s="95">
        <f>+A51+1</f>
        <v>25</v>
      </c>
      <c r="C52" s="61" t="s">
        <v>517</v>
      </c>
      <c r="D52" s="305" t="str">
        <f>"WS B-1 - Actual Stmt. AF Ln. " &amp;'WS B-1 - Actual Stmt. AF'!A207&amp;" (Note 1)"</f>
        <v>WS B-1 - Actual Stmt. AF Ln. 20 (Note 1)</v>
      </c>
      <c r="E52" s="851">
        <f>'WS B-1 - Actual Stmt. AF'!R207</f>
        <v>15253</v>
      </c>
      <c r="G52" s="851">
        <f>'WS B-1 - Actual Stmt. AF'!N207</f>
        <v>26959</v>
      </c>
      <c r="H52"/>
      <c r="I52" s="135">
        <f>IF(G52="",0,(E52+G52)/2)</f>
        <v>21106</v>
      </c>
      <c r="J52" s="24"/>
      <c r="K52" s="25"/>
      <c r="L52" s="25"/>
      <c r="M52" s="25"/>
      <c r="N52" s="25"/>
      <c r="O52" s="25"/>
    </row>
    <row r="53" spans="1:15">
      <c r="A53" s="95"/>
      <c r="C53" s="61"/>
      <c r="D53" s="61"/>
      <c r="J53" s="24"/>
      <c r="K53" s="25"/>
      <c r="L53" s="25"/>
      <c r="M53" s="25"/>
      <c r="N53" s="25"/>
      <c r="O53" s="25"/>
    </row>
    <row r="54" spans="1:15">
      <c r="A54" s="84" t="s">
        <v>68</v>
      </c>
      <c r="C54" s="1408" t="s">
        <v>835</v>
      </c>
      <c r="D54" s="1408"/>
      <c r="E54" s="1408"/>
      <c r="F54" s="1408"/>
      <c r="G54" s="1408"/>
      <c r="H54" s="1408"/>
      <c r="I54" s="1408"/>
      <c r="J54" s="24"/>
      <c r="K54" s="24"/>
    </row>
    <row r="55" spans="1:15">
      <c r="A55" s="84"/>
      <c r="C55" s="1408"/>
      <c r="D55" s="1408"/>
      <c r="E55" s="1408"/>
      <c r="F55" s="1408"/>
      <c r="G55" s="1408"/>
      <c r="H55" s="1408"/>
      <c r="I55" s="1408"/>
      <c r="J55" s="24"/>
      <c r="K55" s="24"/>
    </row>
    <row r="56" spans="1:15">
      <c r="A56" s="95"/>
      <c r="C56" s="61"/>
      <c r="D56" s="61"/>
    </row>
    <row r="57" spans="1:15">
      <c r="A57" s="95" t="s">
        <v>69</v>
      </c>
      <c r="B57" s="34" t="s">
        <v>70</v>
      </c>
      <c r="C57" s="61"/>
      <c r="D57" s="61"/>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1"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view="pageBreakPreview" topLeftCell="A166" zoomScale="85" zoomScaleNormal="50" zoomScaleSheetLayoutView="85" workbookViewId="0">
      <selection activeCell="Q194" sqref="Q194:S194"/>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2.5703125" customWidth="1"/>
    <col min="9" max="9" width="15.140625" customWidth="1"/>
    <col min="10" max="10" width="15" bestFit="1" customWidth="1"/>
    <col min="11" max="11" width="13.5703125" bestFit="1" customWidth="1"/>
    <col min="12" max="12" width="2.42578125" customWidth="1"/>
    <col min="13" max="13" width="15.42578125" bestFit="1" customWidth="1"/>
    <col min="14" max="14" width="15" bestFit="1" customWidth="1"/>
    <col min="15" max="15" width="13.5703125" bestFit="1" customWidth="1"/>
    <col min="16" max="16" width="2.5703125" customWidth="1"/>
    <col min="17" max="17" width="13.140625" bestFit="1" customWidth="1"/>
    <col min="18" max="18" width="15" bestFit="1" customWidth="1"/>
    <col min="19" max="19" width="13.5703125" bestFit="1" customWidth="1"/>
  </cols>
  <sheetData>
    <row r="1" spans="1:19">
      <c r="A1" s="1062"/>
      <c r="B1" s="1122" t="str">
        <f>TCOS!F9</f>
        <v>Appalachian Power Company</v>
      </c>
      <c r="C1" s="1043"/>
      <c r="D1" s="1043"/>
      <c r="E1" s="1043"/>
      <c r="F1" s="1043"/>
      <c r="G1" s="1044"/>
      <c r="H1" s="1044"/>
      <c r="I1" s="1044"/>
      <c r="J1" s="1044"/>
      <c r="K1" s="1044"/>
      <c r="L1" s="1044"/>
      <c r="M1" s="1043"/>
      <c r="N1" s="1043"/>
      <c r="O1" s="1043"/>
      <c r="P1" s="1043"/>
      <c r="Q1" s="1043"/>
      <c r="R1" s="1043"/>
      <c r="S1" s="1044"/>
    </row>
    <row r="2" spans="1:19">
      <c r="A2" s="1062"/>
      <c r="B2" s="1042" t="s">
        <v>837</v>
      </c>
      <c r="C2" s="1043"/>
      <c r="D2" s="1043"/>
      <c r="E2" s="1043"/>
      <c r="F2" s="1043"/>
      <c r="G2" s="1044"/>
      <c r="H2" s="1044"/>
      <c r="I2" s="1044"/>
      <c r="J2" s="1044"/>
      <c r="K2" s="1044"/>
      <c r="L2" s="1044"/>
      <c r="M2" s="1043"/>
      <c r="N2" s="1043"/>
      <c r="O2" s="1043"/>
      <c r="P2" s="1043"/>
      <c r="Q2" s="1043"/>
      <c r="R2" s="1043"/>
      <c r="S2" s="1044"/>
    </row>
    <row r="3" spans="1:19">
      <c r="A3" s="1062"/>
      <c r="B3" s="1084" t="str">
        <f>"PERIOD ENDED DECEMBER 31, "&amp;TCOS!L4</f>
        <v>PERIOD ENDED DECEMBER 31, 2018</v>
      </c>
      <c r="C3" s="1043"/>
      <c r="D3" s="1043"/>
      <c r="E3" s="1043"/>
      <c r="F3" s="1043"/>
      <c r="G3" s="1043"/>
      <c r="H3" s="1043"/>
      <c r="I3" s="1043"/>
      <c r="J3" s="1043"/>
      <c r="K3" s="1043"/>
      <c r="L3" s="1043"/>
      <c r="M3" s="1043"/>
      <c r="N3" s="1043"/>
      <c r="O3" s="1043"/>
      <c r="P3" s="1043"/>
      <c r="Q3" s="1043"/>
      <c r="R3" s="1043"/>
      <c r="S3" s="1043"/>
    </row>
    <row r="4" spans="1:19">
      <c r="A4" s="1062"/>
      <c r="B4" s="1043"/>
      <c r="C4" s="1043"/>
      <c r="D4" s="1043"/>
      <c r="E4" s="1043"/>
      <c r="F4" s="1043"/>
      <c r="G4" s="966" t="s">
        <v>708</v>
      </c>
      <c r="H4" s="966"/>
      <c r="I4" s="966"/>
      <c r="J4" s="966"/>
      <c r="K4" s="966"/>
      <c r="L4" s="966"/>
      <c r="M4" s="1043"/>
      <c r="N4" s="1043"/>
      <c r="O4" s="1043"/>
      <c r="P4" s="1043"/>
      <c r="Q4" s="1043"/>
      <c r="R4" s="1043"/>
      <c r="S4" s="1043"/>
    </row>
    <row r="5" spans="1:19">
      <c r="A5" s="1062"/>
      <c r="B5" s="1045"/>
      <c r="C5" s="1043"/>
      <c r="D5" s="1043"/>
      <c r="E5" s="1043"/>
      <c r="F5" s="1043"/>
      <c r="G5" s="1043"/>
      <c r="H5" s="1043"/>
      <c r="I5" s="1043"/>
      <c r="J5" s="1043"/>
      <c r="K5" s="1043"/>
      <c r="L5" s="1043"/>
      <c r="M5" s="1043"/>
      <c r="N5" s="1043"/>
      <c r="O5" s="1043"/>
      <c r="P5" s="1043"/>
      <c r="Q5" s="1043"/>
      <c r="R5" s="1043"/>
      <c r="S5" s="1043"/>
    </row>
    <row r="6" spans="1:19">
      <c r="A6" s="1062"/>
      <c r="B6" s="1043"/>
      <c r="C6" s="1043"/>
      <c r="D6" s="1043"/>
      <c r="E6" s="1043"/>
      <c r="F6" s="1043"/>
      <c r="G6" s="1043"/>
      <c r="H6" s="1043"/>
      <c r="I6" s="1043"/>
      <c r="J6" s="1043"/>
      <c r="K6" s="1043"/>
      <c r="L6" s="1043"/>
      <c r="M6" s="1043"/>
      <c r="N6" s="1043"/>
      <c r="O6" s="1043"/>
      <c r="P6" s="1043"/>
      <c r="Q6" s="1043"/>
      <c r="R6" s="1043"/>
      <c r="S6" s="1043"/>
    </row>
    <row r="7" spans="1:19">
      <c r="A7" s="1062"/>
      <c r="B7" s="1043"/>
      <c r="C7" s="1043"/>
      <c r="D7" s="1043"/>
      <c r="E7" s="1043"/>
      <c r="F7" s="1043"/>
      <c r="G7" s="1043"/>
      <c r="H7" s="1043"/>
      <c r="I7" s="1043"/>
      <c r="J7" s="1043"/>
      <c r="K7" s="1043"/>
      <c r="L7" s="1043"/>
      <c r="M7" s="1043"/>
      <c r="N7" s="1043"/>
      <c r="O7" s="1043"/>
      <c r="P7" s="1043"/>
      <c r="Q7" s="1043"/>
      <c r="R7" s="1043"/>
      <c r="S7" s="1043"/>
    </row>
    <row r="8" spans="1:19">
      <c r="A8" s="1062"/>
      <c r="B8" s="1046" t="s">
        <v>709</v>
      </c>
      <c r="C8" s="1046" t="s">
        <v>710</v>
      </c>
      <c r="D8" s="1046" t="s">
        <v>711</v>
      </c>
      <c r="E8" s="1046" t="s">
        <v>712</v>
      </c>
      <c r="F8" s="1046" t="s">
        <v>713</v>
      </c>
      <c r="G8" s="1046" t="s">
        <v>714</v>
      </c>
      <c r="H8" s="1046"/>
      <c r="I8" s="1046" t="s">
        <v>715</v>
      </c>
      <c r="J8" s="1046" t="s">
        <v>716</v>
      </c>
      <c r="K8" s="1046" t="s">
        <v>717</v>
      </c>
      <c r="L8" s="1046"/>
      <c r="M8" s="1046" t="s">
        <v>718</v>
      </c>
      <c r="N8" s="1046" t="s">
        <v>719</v>
      </c>
      <c r="O8" s="1046" t="s">
        <v>720</v>
      </c>
      <c r="P8" s="1043"/>
      <c r="Q8" s="1046" t="s">
        <v>721</v>
      </c>
      <c r="R8" s="1046" t="s">
        <v>722</v>
      </c>
      <c r="S8" s="1046" t="s">
        <v>723</v>
      </c>
    </row>
    <row r="9" spans="1:19">
      <c r="A9" s="1062"/>
      <c r="B9" s="1043"/>
      <c r="C9" s="1043"/>
      <c r="D9" s="1043"/>
      <c r="E9" s="1043"/>
      <c r="F9" s="1043"/>
      <c r="G9" s="1043"/>
      <c r="H9" s="1043"/>
      <c r="I9" s="1043"/>
      <c r="J9" s="1043"/>
      <c r="K9" s="1043"/>
      <c r="L9" s="1043"/>
      <c r="M9" s="1043"/>
      <c r="N9" s="1043"/>
      <c r="O9" s="1043"/>
      <c r="P9" s="1043"/>
      <c r="Q9" s="1043"/>
      <c r="R9" s="1043"/>
      <c r="S9" s="1043"/>
    </row>
    <row r="10" spans="1:19">
      <c r="A10" s="1062"/>
      <c r="B10" s="1043"/>
      <c r="C10" s="1047" t="s">
        <v>724</v>
      </c>
      <c r="D10" s="1047"/>
      <c r="E10" s="1048" t="s">
        <v>725</v>
      </c>
      <c r="F10" s="1047"/>
      <c r="G10" s="22" t="s">
        <v>726</v>
      </c>
      <c r="H10" s="22"/>
      <c r="I10" s="1049" t="s">
        <v>727</v>
      </c>
      <c r="J10" s="1047"/>
      <c r="K10" s="1047"/>
      <c r="L10" s="22"/>
      <c r="M10" s="1049" t="str">
        <f>"FUNCTIONALIZATION 12/31/"&amp;TCOS!L4-1</f>
        <v>FUNCTIONALIZATION 12/31/2017</v>
      </c>
      <c r="N10" s="1047"/>
      <c r="O10" s="1047"/>
      <c r="P10" s="1043"/>
      <c r="Q10" s="1049" t="str">
        <f>"FUNCTIONALIZATION 12/31/"&amp;TCOS!L4</f>
        <v>FUNCTIONALIZATION 12/31/2018</v>
      </c>
      <c r="R10" s="1047"/>
      <c r="S10" s="1047"/>
    </row>
    <row r="11" spans="1:19">
      <c r="A11" s="1062"/>
      <c r="B11" s="1043"/>
      <c r="C11" s="1051"/>
      <c r="D11" s="1051"/>
      <c r="E11" s="1043"/>
      <c r="F11" s="1043"/>
      <c r="G11" s="22" t="s">
        <v>728</v>
      </c>
      <c r="H11" s="22"/>
      <c r="I11" s="1051"/>
      <c r="J11" s="1051"/>
      <c r="K11" s="1051"/>
      <c r="L11" s="22"/>
      <c r="M11" s="1051"/>
      <c r="N11" s="1051"/>
      <c r="O11" s="1051"/>
      <c r="P11" s="1043"/>
      <c r="Q11" s="1051"/>
      <c r="R11" s="1051"/>
      <c r="S11" s="1051"/>
    </row>
    <row r="12" spans="1:19" s="21" customFormat="1">
      <c r="A12" s="1062"/>
      <c r="B12" s="1043"/>
      <c r="C12" s="22" t="s">
        <v>729</v>
      </c>
      <c r="D12" s="22" t="s">
        <v>729</v>
      </c>
      <c r="E12" s="22" t="s">
        <v>729</v>
      </c>
      <c r="F12" s="22" t="s">
        <v>729</v>
      </c>
      <c r="G12" s="22" t="s">
        <v>730</v>
      </c>
      <c r="H12" s="22"/>
      <c r="I12" s="1043"/>
      <c r="J12" s="1043"/>
      <c r="K12" s="1043"/>
      <c r="L12" s="22"/>
      <c r="M12" s="1043"/>
      <c r="N12" s="1043"/>
      <c r="O12" s="1043"/>
      <c r="P12" s="1043"/>
      <c r="Q12" s="1043"/>
      <c r="R12" s="1043"/>
      <c r="S12" s="1043"/>
    </row>
    <row r="13" spans="1:19" s="21" customFormat="1">
      <c r="A13" s="1062"/>
      <c r="B13" s="1046" t="s">
        <v>731</v>
      </c>
      <c r="C13" s="1046" t="str">
        <f>"OF 12-31-"&amp;TCOS!L4-1</f>
        <v>OF 12-31-2017</v>
      </c>
      <c r="D13" s="1046" t="str">
        <f>"OF 12-31-"&amp;TCOS!L4</f>
        <v>OF 12-31-2018</v>
      </c>
      <c r="E13" s="1046" t="str">
        <f>"OF 12-31-"&amp;TCOS!L4-1</f>
        <v>OF 12-31-2017</v>
      </c>
      <c r="F13" s="1046" t="str">
        <f>"OF 12-31-"&amp;TCOS!L4</f>
        <v>OF 12-31-2018</v>
      </c>
      <c r="G13" s="1046" t="s">
        <v>732</v>
      </c>
      <c r="H13" s="1046"/>
      <c r="I13" s="1046" t="s">
        <v>733</v>
      </c>
      <c r="J13" s="1046" t="s">
        <v>734</v>
      </c>
      <c r="K13" s="1046" t="s">
        <v>735</v>
      </c>
      <c r="L13" s="1046"/>
      <c r="M13" s="1046" t="s">
        <v>733</v>
      </c>
      <c r="N13" s="1046" t="s">
        <v>734</v>
      </c>
      <c r="O13" s="1046" t="s">
        <v>735</v>
      </c>
      <c r="P13" s="1043"/>
      <c r="Q13" s="1046" t="s">
        <v>733</v>
      </c>
      <c r="R13" s="1046" t="s">
        <v>734</v>
      </c>
      <c r="S13" s="1046" t="s">
        <v>735</v>
      </c>
    </row>
    <row r="14" spans="1:19">
      <c r="A14" s="1062"/>
      <c r="B14" s="1043"/>
      <c r="C14" s="1043"/>
      <c r="D14" s="1043"/>
      <c r="E14" s="1043"/>
      <c r="F14" s="1043"/>
      <c r="G14" s="1043"/>
      <c r="H14" s="1043"/>
      <c r="I14" s="1043"/>
      <c r="J14" s="1043"/>
      <c r="K14" s="1043"/>
      <c r="L14" s="1043"/>
      <c r="M14" s="1043"/>
      <c r="N14" s="1043"/>
      <c r="O14" s="1043"/>
      <c r="P14" s="1043"/>
      <c r="Q14" s="1043"/>
      <c r="R14" s="1043"/>
      <c r="S14" s="1043"/>
    </row>
    <row r="15" spans="1:19">
      <c r="A15" s="1083">
        <v>1</v>
      </c>
      <c r="B15" s="851" t="s">
        <v>736</v>
      </c>
      <c r="C15" s="1053"/>
      <c r="D15" s="1053"/>
      <c r="E15" s="1053"/>
      <c r="F15" s="1054"/>
      <c r="G15" s="1053"/>
      <c r="H15" s="1053"/>
      <c r="I15" s="1053"/>
      <c r="J15" s="1053"/>
      <c r="K15" s="1053"/>
      <c r="L15" s="1053"/>
      <c r="M15" s="1053"/>
      <c r="N15" s="1053"/>
      <c r="O15" s="1053"/>
      <c r="P15" s="1053"/>
      <c r="Q15" s="1053"/>
      <c r="R15" s="1053"/>
      <c r="S15" s="1053"/>
    </row>
    <row r="16" spans="1:19">
      <c r="A16" s="1083">
        <v>2.0099999999999998</v>
      </c>
      <c r="B16" s="851"/>
      <c r="C16" s="1053"/>
      <c r="D16" s="1053"/>
      <c r="E16" s="1053"/>
      <c r="F16" s="1053"/>
      <c r="G16" s="1053"/>
      <c r="H16" s="1053"/>
      <c r="I16" s="1053"/>
      <c r="J16" s="1053"/>
      <c r="K16" s="1053"/>
      <c r="L16" s="1053"/>
      <c r="M16" s="1053"/>
      <c r="N16" s="1053"/>
      <c r="O16" s="1053"/>
      <c r="P16" s="1053"/>
      <c r="Q16" s="1053"/>
      <c r="R16" s="1053"/>
      <c r="S16" s="1053"/>
    </row>
    <row r="17" spans="1:19">
      <c r="A17" s="1083">
        <v>2.02</v>
      </c>
      <c r="B17" s="851" t="s">
        <v>1091</v>
      </c>
      <c r="C17" s="1053">
        <f>SUM(M17:O17)</f>
        <v>289979891</v>
      </c>
      <c r="D17" s="1053">
        <f>SUM(Q17:S17)</f>
        <v>267868298</v>
      </c>
      <c r="E17" s="1053"/>
      <c r="F17" s="1053"/>
      <c r="G17" s="1053">
        <f>ROUND(SUM(C17:F17)/2,0)</f>
        <v>278924095</v>
      </c>
      <c r="H17" s="1053"/>
      <c r="I17" s="1053">
        <f>(M17+Q17)/2</f>
        <v>278924094.5</v>
      </c>
      <c r="J17" s="1053">
        <f>(N17+R17)/2</f>
        <v>0</v>
      </c>
      <c r="K17" s="1053">
        <f>(O17+S17)/2</f>
        <v>0</v>
      </c>
      <c r="L17" s="1053"/>
      <c r="M17" s="851">
        <v>289979891</v>
      </c>
      <c r="N17" s="851"/>
      <c r="O17" s="851"/>
      <c r="P17" s="1053"/>
      <c r="Q17" s="851">
        <v>267868298</v>
      </c>
      <c r="R17" s="851"/>
      <c r="S17" s="851"/>
    </row>
    <row r="18" spans="1:19">
      <c r="A18" s="1083">
        <v>2.0299999999999998</v>
      </c>
      <c r="B18" s="851"/>
      <c r="C18" s="1053"/>
      <c r="D18" s="1053"/>
      <c r="E18" s="1053"/>
      <c r="F18" s="1053"/>
      <c r="G18" s="1053"/>
      <c r="H18" s="1053"/>
      <c r="I18" s="1053"/>
      <c r="J18" s="1053"/>
      <c r="K18" s="1053"/>
      <c r="L18" s="1053"/>
      <c r="M18" s="1053"/>
      <c r="N18" s="1053"/>
      <c r="O18" s="1053"/>
      <c r="P18" s="1053"/>
      <c r="Q18" s="1053"/>
      <c r="R18" s="1053"/>
      <c r="S18" s="1053"/>
    </row>
    <row r="19" spans="1:19">
      <c r="A19" s="1083">
        <v>2.04</v>
      </c>
      <c r="B19" s="851" t="s">
        <v>1092</v>
      </c>
      <c r="C19" s="1053">
        <v>0</v>
      </c>
      <c r="D19" s="1053">
        <v>0</v>
      </c>
      <c r="E19" s="1053">
        <v>0</v>
      </c>
      <c r="F19" s="1053">
        <v>0</v>
      </c>
      <c r="G19" s="1053">
        <f>ROUND(SUM(C19:F19)/2,0)</f>
        <v>0</v>
      </c>
      <c r="H19" s="1053"/>
      <c r="I19" s="1053"/>
      <c r="J19" s="1053"/>
      <c r="K19" s="1053"/>
      <c r="L19" s="1053"/>
      <c r="M19" s="1053"/>
      <c r="N19" s="1053"/>
      <c r="O19" s="1053"/>
      <c r="P19" s="1053"/>
      <c r="Q19" s="1053"/>
      <c r="R19" s="1053"/>
      <c r="S19" s="1053"/>
    </row>
    <row r="20" spans="1:19">
      <c r="A20" s="1083">
        <v>2.0499999999999998</v>
      </c>
      <c r="B20" s="851" t="s">
        <v>1093</v>
      </c>
      <c r="C20" s="1053">
        <v>0</v>
      </c>
      <c r="D20" s="1053">
        <v>0</v>
      </c>
      <c r="E20" s="1053">
        <v>0</v>
      </c>
      <c r="F20" s="1053">
        <v>0</v>
      </c>
      <c r="G20" s="1053">
        <f>ROUND(SUM(C20:F20)/2,0)</f>
        <v>0</v>
      </c>
      <c r="H20" s="1053"/>
      <c r="I20" s="1053"/>
      <c r="J20" s="1053"/>
      <c r="K20" s="1053"/>
      <c r="L20" s="1053"/>
      <c r="M20" s="1053"/>
      <c r="N20" s="1053"/>
      <c r="O20" s="1053"/>
      <c r="P20" s="1053"/>
      <c r="Q20" s="1053"/>
      <c r="R20" s="1053"/>
      <c r="S20" s="1053"/>
    </row>
    <row r="21" spans="1:19">
      <c r="A21" s="1083">
        <v>2.06</v>
      </c>
      <c r="B21" s="851" t="s">
        <v>1094</v>
      </c>
      <c r="C21" s="1053">
        <f>-E21</f>
        <v>-115991956</v>
      </c>
      <c r="D21" s="1053">
        <f>-F21</f>
        <v>-106710020</v>
      </c>
      <c r="E21" s="1053">
        <v>115991956</v>
      </c>
      <c r="F21" s="1053">
        <v>106710020</v>
      </c>
      <c r="G21" s="1053">
        <f>ROUND(SUM(C21:F21)/2,0)</f>
        <v>0</v>
      </c>
      <c r="H21" s="1053"/>
      <c r="I21" s="1053"/>
      <c r="J21" s="1053"/>
      <c r="K21" s="1053"/>
      <c r="L21" s="1053"/>
      <c r="M21" s="1053"/>
      <c r="N21" s="1053"/>
      <c r="O21" s="1053"/>
      <c r="P21" s="1053"/>
      <c r="Q21" s="1053"/>
      <c r="R21" s="1053"/>
      <c r="S21" s="1053"/>
    </row>
    <row r="22" spans="1:19">
      <c r="A22" s="1079"/>
      <c r="B22" s="1043"/>
      <c r="C22" s="1053"/>
      <c r="D22" s="1053"/>
      <c r="E22" s="1053"/>
      <c r="F22" s="1053"/>
      <c r="G22" s="1053"/>
      <c r="H22" s="1053"/>
      <c r="I22" s="1053"/>
      <c r="J22" s="1053"/>
      <c r="K22" s="1053"/>
      <c r="L22" s="1053"/>
      <c r="M22" s="1053"/>
      <c r="N22" s="1053"/>
      <c r="O22" s="1053"/>
      <c r="P22" s="1053"/>
      <c r="Q22" s="1053"/>
      <c r="R22" s="1053"/>
      <c r="S22" s="1053"/>
    </row>
    <row r="23" spans="1:19" ht="13.5" thickBot="1">
      <c r="A23" s="1063">
        <v>3</v>
      </c>
      <c r="B23" s="244" t="s">
        <v>737</v>
      </c>
      <c r="C23" s="1055">
        <f>SUM(C17:C22)</f>
        <v>173987935</v>
      </c>
      <c r="D23" s="1055">
        <f>SUM(D17:D22)</f>
        <v>161158278</v>
      </c>
      <c r="E23" s="1055">
        <f>SUM(E17:E22)</f>
        <v>115991956</v>
      </c>
      <c r="F23" s="1055">
        <f>SUM(F17:F22)</f>
        <v>106710020</v>
      </c>
      <c r="G23" s="1055">
        <f>SUM(G17:G22)</f>
        <v>278924095</v>
      </c>
      <c r="H23" s="1053"/>
      <c r="I23" s="1055">
        <f>SUM(I17:I22)</f>
        <v>278924094.5</v>
      </c>
      <c r="J23" s="1055">
        <f>SUM(J17:J22)</f>
        <v>0</v>
      </c>
      <c r="K23" s="1055">
        <f>SUM(K17:K22)</f>
        <v>0</v>
      </c>
      <c r="L23" s="1053"/>
      <c r="M23" s="1055">
        <f>SUM(M17:M22)</f>
        <v>289979891</v>
      </c>
      <c r="N23" s="1055">
        <f>SUM(N17:N22)</f>
        <v>0</v>
      </c>
      <c r="O23" s="1055">
        <f>SUM(O17:O22)</f>
        <v>0</v>
      </c>
      <c r="P23" s="1053"/>
      <c r="Q23" s="1055">
        <f>SUM(Q17:Q22)</f>
        <v>267868298</v>
      </c>
      <c r="R23" s="1055">
        <f>SUM(R17:R22)</f>
        <v>0</v>
      </c>
      <c r="S23" s="1055">
        <f>SUM(S17:S22)</f>
        <v>0</v>
      </c>
    </row>
    <row r="24" spans="1:19" ht="13.5" thickTop="1">
      <c r="A24" s="1063">
        <f>A23+1</f>
        <v>4</v>
      </c>
      <c r="B24" s="1123" t="s">
        <v>755</v>
      </c>
      <c r="C24" s="1076">
        <v>0</v>
      </c>
      <c r="D24" s="1076">
        <v>0</v>
      </c>
      <c r="E24" s="1076">
        <v>0</v>
      </c>
      <c r="F24" s="1076">
        <v>0</v>
      </c>
      <c r="G24" s="1076">
        <v>0</v>
      </c>
      <c r="H24" s="1077"/>
      <c r="I24" s="1076">
        <v>0</v>
      </c>
      <c r="J24" s="1076">
        <v>0</v>
      </c>
      <c r="K24" s="1076">
        <v>0</v>
      </c>
      <c r="L24" s="1077"/>
      <c r="M24" s="1076">
        <v>0</v>
      </c>
      <c r="N24" s="1076">
        <v>0</v>
      </c>
      <c r="O24" s="1076">
        <v>0</v>
      </c>
      <c r="P24" s="1077"/>
      <c r="Q24" s="1076">
        <v>0</v>
      </c>
      <c r="R24" s="1076">
        <v>0</v>
      </c>
      <c r="S24" s="1076">
        <v>0</v>
      </c>
    </row>
    <row r="25" spans="1:19">
      <c r="A25" s="1063"/>
      <c r="B25" s="1043"/>
      <c r="C25" s="1053"/>
      <c r="D25" s="1053"/>
      <c r="E25" s="1053"/>
      <c r="F25" s="1053"/>
      <c r="G25" s="1053"/>
      <c r="H25" s="1053"/>
      <c r="I25" s="1053"/>
      <c r="J25" s="1053"/>
      <c r="K25" s="1053"/>
      <c r="L25" s="1053"/>
      <c r="M25" s="1053"/>
      <c r="N25" s="1053"/>
      <c r="O25" s="1053"/>
      <c r="P25" s="1053"/>
      <c r="Q25" s="1053"/>
      <c r="R25" s="1053"/>
      <c r="S25" s="1053"/>
    </row>
    <row r="26" spans="1:19">
      <c r="A26" s="1063">
        <v>5</v>
      </c>
      <c r="B26" s="1044" t="s">
        <v>738</v>
      </c>
      <c r="C26" s="1053"/>
      <c r="D26" s="1053"/>
      <c r="E26" s="1053"/>
      <c r="F26" s="1053"/>
      <c r="G26" s="1053"/>
      <c r="H26" s="1053"/>
      <c r="I26" s="1053"/>
      <c r="J26" s="1053"/>
      <c r="K26" s="1053"/>
      <c r="L26" s="1053"/>
      <c r="M26" s="1053"/>
      <c r="N26" s="1053"/>
      <c r="O26" s="1053"/>
      <c r="P26" s="1053"/>
      <c r="Q26" s="1053"/>
      <c r="R26" s="1053"/>
      <c r="S26" s="1053"/>
    </row>
    <row r="27" spans="1:19">
      <c r="A27" s="1080"/>
      <c r="B27" s="1043"/>
      <c r="C27" s="1053"/>
      <c r="D27" s="1053"/>
      <c r="E27" s="1053"/>
      <c r="F27" s="1053"/>
      <c r="G27" s="1053"/>
      <c r="H27" s="1053"/>
      <c r="I27" s="1053"/>
      <c r="J27" s="1053"/>
      <c r="K27" s="1053"/>
      <c r="L27" s="1053"/>
      <c r="M27" s="1053"/>
      <c r="N27" s="1053"/>
      <c r="O27" s="1053"/>
      <c r="P27" s="1053"/>
      <c r="Q27" s="1053"/>
      <c r="R27" s="1053"/>
      <c r="S27" s="1053"/>
    </row>
    <row r="28" spans="1:19">
      <c r="A28" s="1083">
        <v>5.01</v>
      </c>
      <c r="B28" s="851" t="s">
        <v>1095</v>
      </c>
      <c r="C28" s="1053">
        <f t="shared" ref="C28:C64" si="0">SUM(M28:O28)</f>
        <v>1422389909.3399999</v>
      </c>
      <c r="D28" s="1053">
        <f t="shared" ref="D28:D64" si="1">SUM(Q28:S28)</f>
        <v>818108549.83000004</v>
      </c>
      <c r="E28" s="1053"/>
      <c r="F28" s="1053"/>
      <c r="G28" s="1053">
        <f t="shared" ref="G28:G50" si="2">ROUND(SUM(C28:F28)/2,0)</f>
        <v>1120249230</v>
      </c>
      <c r="H28" s="1053"/>
      <c r="I28" s="1053">
        <f t="shared" ref="I28:K65" si="3">(M28+Q28)/2</f>
        <v>310324379.625</v>
      </c>
      <c r="J28" s="1053">
        <f t="shared" si="3"/>
        <v>396941456.11000001</v>
      </c>
      <c r="K28" s="1053">
        <f t="shared" si="3"/>
        <v>412983393.85000002</v>
      </c>
      <c r="L28" s="1053"/>
      <c r="M28" s="851">
        <v>380126870.19999999</v>
      </c>
      <c r="N28" s="851">
        <v>497638693.63</v>
      </c>
      <c r="O28" s="851">
        <v>544624345.50999999</v>
      </c>
      <c r="P28" s="1053"/>
      <c r="Q28" s="851">
        <v>240521889.05000001</v>
      </c>
      <c r="R28" s="851">
        <v>296244218.59000003</v>
      </c>
      <c r="S28" s="851">
        <v>281342442.19</v>
      </c>
    </row>
    <row r="29" spans="1:19">
      <c r="A29" s="1083">
        <f>A28+0.01</f>
        <v>5.0199999999999996</v>
      </c>
      <c r="B29" s="851" t="s">
        <v>1096</v>
      </c>
      <c r="C29" s="1053">
        <f>SUM(M29:O29)</f>
        <v>0</v>
      </c>
      <c r="D29" s="1053">
        <f>SUM(Q29:S29)</f>
        <v>0</v>
      </c>
      <c r="E29" s="1053"/>
      <c r="F29" s="1053"/>
      <c r="G29" s="1053">
        <f t="shared" si="2"/>
        <v>0</v>
      </c>
      <c r="H29" s="1053"/>
      <c r="I29" s="1053">
        <f t="shared" si="3"/>
        <v>0</v>
      </c>
      <c r="J29" s="1053">
        <f t="shared" si="3"/>
        <v>0</v>
      </c>
      <c r="K29" s="1053">
        <f t="shared" si="3"/>
        <v>0</v>
      </c>
      <c r="L29" s="1053"/>
      <c r="M29" s="851">
        <v>0</v>
      </c>
      <c r="N29" s="851">
        <v>0</v>
      </c>
      <c r="O29" s="851">
        <v>0</v>
      </c>
      <c r="P29" s="1053"/>
      <c r="Q29" s="851">
        <v>0</v>
      </c>
      <c r="R29" s="851">
        <v>0</v>
      </c>
      <c r="S29" s="851">
        <v>0</v>
      </c>
    </row>
    <row r="30" spans="1:19">
      <c r="A30" s="1083">
        <f t="shared" ref="A30:A74" si="4">A29+0.01</f>
        <v>5.0299999999999994</v>
      </c>
      <c r="B30" s="851" t="s">
        <v>1097</v>
      </c>
      <c r="C30" s="1053">
        <f t="shared" si="0"/>
        <v>607481.66999999993</v>
      </c>
      <c r="D30" s="1053">
        <f t="shared" si="1"/>
        <v>243740.67</v>
      </c>
      <c r="E30" s="1053"/>
      <c r="F30" s="1053"/>
      <c r="G30" s="1053">
        <f t="shared" si="2"/>
        <v>425611</v>
      </c>
      <c r="H30" s="1053"/>
      <c r="I30" s="1053">
        <f t="shared" si="3"/>
        <v>133198.35</v>
      </c>
      <c r="J30" s="1053">
        <f t="shared" si="3"/>
        <v>179643.065</v>
      </c>
      <c r="K30" s="1053">
        <f t="shared" si="3"/>
        <v>112769.755</v>
      </c>
      <c r="L30" s="1053"/>
      <c r="M30" s="1110">
        <v>190116.12</v>
      </c>
      <c r="N30" s="1110">
        <v>256407.55</v>
      </c>
      <c r="O30" s="851">
        <v>160958</v>
      </c>
      <c r="P30" s="1053"/>
      <c r="Q30" s="1110">
        <v>76280.58</v>
      </c>
      <c r="R30" s="1110">
        <v>102878.58</v>
      </c>
      <c r="S30" s="851">
        <v>64581.51</v>
      </c>
    </row>
    <row r="31" spans="1:19">
      <c r="A31" s="1083">
        <f t="shared" si="4"/>
        <v>5.0399999999999991</v>
      </c>
      <c r="B31" s="851" t="s">
        <v>1098</v>
      </c>
      <c r="C31" s="1053">
        <f>SUM(M31:O31)</f>
        <v>117769.05</v>
      </c>
      <c r="D31" s="1053">
        <f>SUM(Q31:S31)</f>
        <v>46775.82</v>
      </c>
      <c r="E31" s="1053"/>
      <c r="F31" s="1053"/>
      <c r="G31" s="1053">
        <f t="shared" si="2"/>
        <v>82272</v>
      </c>
      <c r="H31" s="1053"/>
      <c r="I31" s="1053">
        <f t="shared" si="3"/>
        <v>0</v>
      </c>
      <c r="J31" s="1053">
        <f t="shared" si="3"/>
        <v>0</v>
      </c>
      <c r="K31" s="1053">
        <f t="shared" si="3"/>
        <v>82272.434999999998</v>
      </c>
      <c r="L31" s="1053"/>
      <c r="M31" s="851">
        <v>0</v>
      </c>
      <c r="N31" s="851">
        <v>0</v>
      </c>
      <c r="O31" s="851">
        <v>117769.05</v>
      </c>
      <c r="P31" s="1053"/>
      <c r="Q31" s="851">
        <v>0</v>
      </c>
      <c r="R31" s="851">
        <v>0</v>
      </c>
      <c r="S31" s="851">
        <v>46775.82</v>
      </c>
    </row>
    <row r="32" spans="1:19">
      <c r="A32" s="1083">
        <f t="shared" si="4"/>
        <v>5.0499999999999989</v>
      </c>
      <c r="B32" s="851" t="s">
        <v>1099</v>
      </c>
      <c r="C32" s="1053">
        <f t="shared" si="0"/>
        <v>-1487.01</v>
      </c>
      <c r="D32" s="1053">
        <f t="shared" si="1"/>
        <v>-0.12</v>
      </c>
      <c r="E32" s="1053"/>
      <c r="F32" s="1053"/>
      <c r="G32" s="1053">
        <f t="shared" si="2"/>
        <v>-744</v>
      </c>
      <c r="H32" s="1053"/>
      <c r="I32" s="1053">
        <f t="shared" si="3"/>
        <v>0</v>
      </c>
      <c r="J32" s="1053">
        <f t="shared" si="3"/>
        <v>-743.56499999999994</v>
      </c>
      <c r="K32" s="1053">
        <f t="shared" si="3"/>
        <v>0</v>
      </c>
      <c r="L32" s="1053"/>
      <c r="M32" s="851">
        <v>0</v>
      </c>
      <c r="N32" s="851">
        <v>-1487.01</v>
      </c>
      <c r="O32" s="851">
        <v>0</v>
      </c>
      <c r="P32" s="1053"/>
      <c r="Q32" s="851">
        <v>0</v>
      </c>
      <c r="R32" s="851">
        <v>-0.12</v>
      </c>
      <c r="S32" s="851">
        <v>0</v>
      </c>
    </row>
    <row r="33" spans="1:19">
      <c r="A33" s="1083">
        <f t="shared" si="4"/>
        <v>5.0599999999999987</v>
      </c>
      <c r="B33" s="851" t="s">
        <v>1100</v>
      </c>
      <c r="C33" s="1053">
        <f t="shared" ref="C33:C39" si="5">SUM(M33:O33)</f>
        <v>3685427.44</v>
      </c>
      <c r="D33" s="1053">
        <f t="shared" ref="D33:D39" si="6">SUM(Q33:S33)</f>
        <v>2219071.8199999998</v>
      </c>
      <c r="E33" s="1053"/>
      <c r="F33" s="1053"/>
      <c r="G33" s="1053">
        <f t="shared" si="2"/>
        <v>2952250</v>
      </c>
      <c r="H33" s="1053"/>
      <c r="I33" s="1053">
        <f t="shared" si="3"/>
        <v>2557872.4299999997</v>
      </c>
      <c r="J33" s="1053">
        <f t="shared" si="3"/>
        <v>110139.68</v>
      </c>
      <c r="K33" s="1053">
        <f t="shared" si="3"/>
        <v>284237.52</v>
      </c>
      <c r="L33" s="1053"/>
      <c r="M33" s="851">
        <v>3192455.94</v>
      </c>
      <c r="N33" s="851">
        <v>137674.6</v>
      </c>
      <c r="O33" s="851">
        <v>355296.9</v>
      </c>
      <c r="P33" s="1053"/>
      <c r="Q33" s="851">
        <v>1923288.92</v>
      </c>
      <c r="R33" s="851">
        <v>82604.759999999995</v>
      </c>
      <c r="S33" s="851">
        <v>213178.14</v>
      </c>
    </row>
    <row r="34" spans="1:19">
      <c r="A34" s="1083">
        <f t="shared" si="4"/>
        <v>5.0699999999999985</v>
      </c>
      <c r="B34" s="851" t="s">
        <v>1101</v>
      </c>
      <c r="C34" s="1057">
        <f t="shared" si="5"/>
        <v>23570936.169999998</v>
      </c>
      <c r="D34" s="1057">
        <f t="shared" si="6"/>
        <v>13433039.32</v>
      </c>
      <c r="E34" s="1057"/>
      <c r="F34" s="1057"/>
      <c r="G34" s="1057">
        <f t="shared" si="2"/>
        <v>18501988</v>
      </c>
      <c r="H34" s="1057"/>
      <c r="I34" s="1057">
        <f t="shared" si="3"/>
        <v>18317928.065000001</v>
      </c>
      <c r="J34" s="1057">
        <f t="shared" si="3"/>
        <v>-475.255</v>
      </c>
      <c r="K34" s="1057">
        <f t="shared" si="3"/>
        <v>184534.935</v>
      </c>
      <c r="L34" s="1057"/>
      <c r="M34" s="851">
        <v>23336500.48</v>
      </c>
      <c r="N34" s="1110">
        <v>-570.91999999999996</v>
      </c>
      <c r="O34" s="851">
        <v>235006.61</v>
      </c>
      <c r="P34" s="1053"/>
      <c r="Q34" s="1110">
        <v>13299355.65</v>
      </c>
      <c r="R34" s="1110">
        <v>-379.59</v>
      </c>
      <c r="S34" s="851">
        <v>134063.26</v>
      </c>
    </row>
    <row r="35" spans="1:19">
      <c r="A35" s="1083">
        <f t="shared" si="4"/>
        <v>5.0799999999999983</v>
      </c>
      <c r="B35" s="851" t="s">
        <v>1102</v>
      </c>
      <c r="C35" s="1057">
        <f t="shared" si="5"/>
        <v>-2239124.9900000002</v>
      </c>
      <c r="D35" s="1057">
        <f t="shared" si="6"/>
        <v>-1343474.99</v>
      </c>
      <c r="E35" s="1057"/>
      <c r="F35" s="1057"/>
      <c r="G35" s="1057">
        <f t="shared" si="2"/>
        <v>-1791300</v>
      </c>
      <c r="H35" s="1057"/>
      <c r="I35" s="1057">
        <f t="shared" si="3"/>
        <v>-1791299.9900000002</v>
      </c>
      <c r="J35" s="1057">
        <f t="shared" si="3"/>
        <v>0</v>
      </c>
      <c r="K35" s="1057">
        <f t="shared" si="3"/>
        <v>0</v>
      </c>
      <c r="L35" s="1057"/>
      <c r="M35" s="851">
        <v>-2239124.9900000002</v>
      </c>
      <c r="N35" s="851">
        <v>0</v>
      </c>
      <c r="O35" s="851">
        <v>0</v>
      </c>
      <c r="P35" s="1057"/>
      <c r="Q35" s="851">
        <v>-1343474.99</v>
      </c>
      <c r="R35" s="851">
        <v>0</v>
      </c>
      <c r="S35" s="851">
        <v>0</v>
      </c>
    </row>
    <row r="36" spans="1:19">
      <c r="A36" s="1083">
        <f t="shared" si="4"/>
        <v>5.0899999999999981</v>
      </c>
      <c r="B36" s="851" t="s">
        <v>1103</v>
      </c>
      <c r="C36" s="1053">
        <f>SUM(M36:O36)</f>
        <v>25679713.100000001</v>
      </c>
      <c r="D36" s="1053">
        <f t="shared" si="6"/>
        <v>14737922.4</v>
      </c>
      <c r="E36" s="1053"/>
      <c r="F36" s="1053"/>
      <c r="G36" s="1053">
        <f>ROUND(SUM(C36:F36)/2,0)</f>
        <v>20208818</v>
      </c>
      <c r="H36" s="1053"/>
      <c r="I36" s="1053">
        <f t="shared" si="3"/>
        <v>20208817.75</v>
      </c>
      <c r="J36" s="1053">
        <f t="shared" si="3"/>
        <v>0</v>
      </c>
      <c r="K36" s="1053">
        <f t="shared" si="3"/>
        <v>0</v>
      </c>
      <c r="L36" s="1053"/>
      <c r="M36" s="851">
        <v>25679713.100000001</v>
      </c>
      <c r="N36" s="851">
        <v>0</v>
      </c>
      <c r="O36" s="851">
        <v>0</v>
      </c>
      <c r="P36" s="1053"/>
      <c r="Q36" s="851">
        <v>14737922.4</v>
      </c>
      <c r="R36" s="851">
        <v>0</v>
      </c>
      <c r="S36" s="851">
        <v>0</v>
      </c>
    </row>
    <row r="37" spans="1:19">
      <c r="A37" s="1083">
        <f t="shared" si="4"/>
        <v>5.0999999999999979</v>
      </c>
      <c r="B37" s="851" t="s">
        <v>1104</v>
      </c>
      <c r="C37" s="1053">
        <f t="shared" si="5"/>
        <v>76552290.349999994</v>
      </c>
      <c r="D37" s="1053">
        <f t="shared" si="6"/>
        <v>44893794.209999993</v>
      </c>
      <c r="E37" s="1053"/>
      <c r="F37" s="1053"/>
      <c r="G37" s="1053">
        <f t="shared" si="2"/>
        <v>60723042</v>
      </c>
      <c r="H37" s="1053"/>
      <c r="I37" s="1053">
        <f t="shared" si="3"/>
        <v>60723042.279999994</v>
      </c>
      <c r="J37" s="1053">
        <f t="shared" si="3"/>
        <v>0</v>
      </c>
      <c r="K37" s="1053">
        <f t="shared" si="3"/>
        <v>0</v>
      </c>
      <c r="L37" s="1053"/>
      <c r="M37" s="851">
        <v>76552290.349999994</v>
      </c>
      <c r="N37" s="851">
        <v>0</v>
      </c>
      <c r="O37" s="851">
        <v>0</v>
      </c>
      <c r="P37" s="1053"/>
      <c r="Q37" s="851">
        <v>44893794.209999993</v>
      </c>
      <c r="R37" s="851">
        <v>0</v>
      </c>
      <c r="S37" s="851">
        <v>0</v>
      </c>
    </row>
    <row r="38" spans="1:19">
      <c r="A38" s="1083">
        <f t="shared" si="4"/>
        <v>5.1099999999999977</v>
      </c>
      <c r="B38" s="851" t="s">
        <v>1105</v>
      </c>
      <c r="C38" s="1053">
        <f t="shared" si="5"/>
        <v>127431397.59999999</v>
      </c>
      <c r="D38" s="1053">
        <f t="shared" si="6"/>
        <v>83275348.25</v>
      </c>
      <c r="E38" s="1053"/>
      <c r="F38" s="1053"/>
      <c r="G38" s="1053">
        <f t="shared" si="2"/>
        <v>105353373</v>
      </c>
      <c r="H38" s="1053"/>
      <c r="I38" s="1053">
        <f t="shared" si="3"/>
        <v>47715439.765000001</v>
      </c>
      <c r="J38" s="1053">
        <f t="shared" si="3"/>
        <v>8515500.5399999991</v>
      </c>
      <c r="K38" s="1053">
        <f t="shared" si="3"/>
        <v>49122432.619999997</v>
      </c>
      <c r="L38" s="1053"/>
      <c r="M38" s="851">
        <v>57173302.799999997</v>
      </c>
      <c r="N38" s="851">
        <v>10118192.699999999</v>
      </c>
      <c r="O38" s="851">
        <v>60139902.099999994</v>
      </c>
      <c r="P38" s="1053"/>
      <c r="Q38" s="851">
        <v>38257576.730000004</v>
      </c>
      <c r="R38" s="851">
        <v>6912808.3799999999</v>
      </c>
      <c r="S38" s="851">
        <v>38104963.140000001</v>
      </c>
    </row>
    <row r="39" spans="1:19">
      <c r="A39" s="1083">
        <f t="shared" si="4"/>
        <v>5.1199999999999974</v>
      </c>
      <c r="B39" s="851" t="s">
        <v>1106</v>
      </c>
      <c r="C39" s="1053">
        <f t="shared" si="5"/>
        <v>-15126383.24</v>
      </c>
      <c r="D39" s="1053">
        <f t="shared" si="6"/>
        <v>-7935566.2800000003</v>
      </c>
      <c r="E39" s="1053"/>
      <c r="F39" s="1053"/>
      <c r="G39" s="1053">
        <f t="shared" si="2"/>
        <v>-11530975</v>
      </c>
      <c r="H39" s="1053"/>
      <c r="I39" s="1053">
        <f t="shared" si="3"/>
        <v>-11530974.76</v>
      </c>
      <c r="J39" s="1053">
        <f t="shared" si="3"/>
        <v>0</v>
      </c>
      <c r="K39" s="1053">
        <f t="shared" si="3"/>
        <v>0</v>
      </c>
      <c r="L39" s="1053"/>
      <c r="M39" s="851">
        <v>-15126383.24</v>
      </c>
      <c r="N39" s="851">
        <v>0</v>
      </c>
      <c r="O39" s="851">
        <v>0</v>
      </c>
      <c r="P39" s="1053"/>
      <c r="Q39" s="851">
        <v>-7935566.2800000003</v>
      </c>
      <c r="R39" s="851">
        <v>0</v>
      </c>
      <c r="S39" s="851">
        <v>0</v>
      </c>
    </row>
    <row r="40" spans="1:19">
      <c r="A40" s="1083">
        <f t="shared" si="4"/>
        <v>5.1299999999999972</v>
      </c>
      <c r="B40" s="851" t="s">
        <v>1107</v>
      </c>
      <c r="C40" s="1053">
        <f t="shared" si="0"/>
        <v>1187651.81</v>
      </c>
      <c r="D40" s="1053">
        <f t="shared" si="1"/>
        <v>690499.02999999991</v>
      </c>
      <c r="E40" s="1053"/>
      <c r="F40" s="1053"/>
      <c r="G40" s="1053">
        <f t="shared" si="2"/>
        <v>939075</v>
      </c>
      <c r="H40" s="1053"/>
      <c r="I40" s="1053">
        <f t="shared" si="3"/>
        <v>939019.72</v>
      </c>
      <c r="J40" s="1053">
        <f t="shared" si="3"/>
        <v>19.359999999996944</v>
      </c>
      <c r="K40" s="1053">
        <f t="shared" si="3"/>
        <v>36.340000000003783</v>
      </c>
      <c r="L40" s="1053"/>
      <c r="M40" s="851">
        <v>1187550.81</v>
      </c>
      <c r="N40" s="851">
        <v>36</v>
      </c>
      <c r="O40" s="851">
        <v>65</v>
      </c>
      <c r="P40" s="1053"/>
      <c r="Q40" s="851">
        <v>690488.62999999989</v>
      </c>
      <c r="R40" s="851">
        <v>2.7199999999938882</v>
      </c>
      <c r="S40" s="851">
        <v>7.680000000007567</v>
      </c>
    </row>
    <row r="41" spans="1:19">
      <c r="A41" s="1083">
        <f t="shared" si="4"/>
        <v>5.139999999999997</v>
      </c>
      <c r="B41" s="851" t="s">
        <v>1108</v>
      </c>
      <c r="C41" s="1053">
        <f t="shared" si="0"/>
        <v>1728039.44</v>
      </c>
      <c r="D41" s="1053">
        <f t="shared" si="1"/>
        <v>1428150.0699999998</v>
      </c>
      <c r="E41" s="1053"/>
      <c r="F41" s="1053"/>
      <c r="G41" s="1053">
        <f t="shared" si="2"/>
        <v>1578095</v>
      </c>
      <c r="H41" s="1053"/>
      <c r="I41" s="1053">
        <f t="shared" si="3"/>
        <v>0</v>
      </c>
      <c r="J41" s="1053">
        <f t="shared" si="3"/>
        <v>1578094.7549999999</v>
      </c>
      <c r="K41" s="1053">
        <f t="shared" si="3"/>
        <v>0</v>
      </c>
      <c r="L41" s="1053"/>
      <c r="M41" s="851">
        <v>0</v>
      </c>
      <c r="N41" s="851">
        <v>1728039.44</v>
      </c>
      <c r="O41" s="851">
        <v>0</v>
      </c>
      <c r="P41" s="1053"/>
      <c r="Q41" s="851">
        <v>0</v>
      </c>
      <c r="R41" s="851">
        <v>1428150.0699999998</v>
      </c>
      <c r="S41" s="851">
        <v>0</v>
      </c>
    </row>
    <row r="42" spans="1:19">
      <c r="A42" s="1083">
        <f t="shared" si="4"/>
        <v>5.1499999999999968</v>
      </c>
      <c r="B42" s="851" t="s">
        <v>1109</v>
      </c>
      <c r="C42" s="1053">
        <f t="shared" si="0"/>
        <v>13226</v>
      </c>
      <c r="D42" s="1053">
        <f t="shared" si="1"/>
        <v>10924.599999999995</v>
      </c>
      <c r="E42" s="1053"/>
      <c r="F42" s="1053"/>
      <c r="G42" s="1053">
        <f t="shared" si="2"/>
        <v>12075</v>
      </c>
      <c r="H42" s="1053"/>
      <c r="I42" s="1053">
        <f t="shared" si="3"/>
        <v>0</v>
      </c>
      <c r="J42" s="1053">
        <f t="shared" si="3"/>
        <v>4326.9049999999988</v>
      </c>
      <c r="K42" s="1053">
        <f t="shared" si="3"/>
        <v>7748.3949999999986</v>
      </c>
      <c r="L42" s="1053"/>
      <c r="M42" s="851">
        <v>0</v>
      </c>
      <c r="N42" s="851">
        <v>4747</v>
      </c>
      <c r="O42" s="851">
        <v>8479</v>
      </c>
      <c r="P42" s="1053"/>
      <c r="Q42" s="851">
        <v>0</v>
      </c>
      <c r="R42" s="851">
        <v>3906.8099999999977</v>
      </c>
      <c r="S42" s="851">
        <v>7017.7899999999972</v>
      </c>
    </row>
    <row r="43" spans="1:19">
      <c r="A43" s="1083">
        <f t="shared" si="4"/>
        <v>5.1599999999999966</v>
      </c>
      <c r="B43" s="851" t="s">
        <v>1110</v>
      </c>
      <c r="C43" s="1053">
        <f t="shared" si="0"/>
        <v>4519.1499999999996</v>
      </c>
      <c r="D43" s="1053">
        <f t="shared" si="1"/>
        <v>3996.38</v>
      </c>
      <c r="E43" s="1053"/>
      <c r="F43" s="1053"/>
      <c r="G43" s="1053">
        <f t="shared" si="2"/>
        <v>4258</v>
      </c>
      <c r="H43" s="1053"/>
      <c r="I43" s="1053">
        <f t="shared" si="3"/>
        <v>0</v>
      </c>
      <c r="J43" s="1053">
        <f t="shared" si="3"/>
        <v>0</v>
      </c>
      <c r="K43" s="1053">
        <f t="shared" si="3"/>
        <v>4257.7649999999994</v>
      </c>
      <c r="L43" s="1053"/>
      <c r="M43" s="851">
        <v>0</v>
      </c>
      <c r="N43" s="851">
        <v>0</v>
      </c>
      <c r="O43" s="851">
        <v>4519.1499999999996</v>
      </c>
      <c r="P43" s="1053"/>
      <c r="Q43" s="851">
        <v>0</v>
      </c>
      <c r="R43" s="851">
        <v>0</v>
      </c>
      <c r="S43" s="851">
        <v>3996.38</v>
      </c>
    </row>
    <row r="44" spans="1:19">
      <c r="A44" s="1083">
        <f t="shared" si="4"/>
        <v>5.1699999999999964</v>
      </c>
      <c r="B44" s="851" t="s">
        <v>1111</v>
      </c>
      <c r="C44" s="1053">
        <f t="shared" si="0"/>
        <v>0</v>
      </c>
      <c r="D44" s="1053">
        <f t="shared" si="1"/>
        <v>0</v>
      </c>
      <c r="E44" s="1053"/>
      <c r="F44" s="1053"/>
      <c r="G44" s="1053">
        <f t="shared" si="2"/>
        <v>0</v>
      </c>
      <c r="H44" s="1053"/>
      <c r="I44" s="1053">
        <f t="shared" si="3"/>
        <v>0</v>
      </c>
      <c r="J44" s="1053">
        <f t="shared" si="3"/>
        <v>0</v>
      </c>
      <c r="K44" s="1053">
        <f t="shared" si="3"/>
        <v>0</v>
      </c>
      <c r="L44" s="1053"/>
      <c r="M44" s="851">
        <v>0</v>
      </c>
      <c r="N44" s="851">
        <v>0</v>
      </c>
      <c r="O44" s="851">
        <v>0</v>
      </c>
      <c r="P44" s="1053"/>
      <c r="Q44" s="851">
        <v>0</v>
      </c>
      <c r="R44" s="851">
        <v>0</v>
      </c>
      <c r="S44" s="851">
        <v>0</v>
      </c>
    </row>
    <row r="45" spans="1:19">
      <c r="A45" s="1083">
        <f t="shared" si="4"/>
        <v>5.1799999999999962</v>
      </c>
      <c r="B45" s="851" t="s">
        <v>1112</v>
      </c>
      <c r="C45" s="1053">
        <f t="shared" si="0"/>
        <v>0</v>
      </c>
      <c r="D45" s="1053">
        <f t="shared" si="1"/>
        <v>0</v>
      </c>
      <c r="E45" s="1053"/>
      <c r="F45" s="1053"/>
      <c r="G45" s="1053">
        <f t="shared" si="2"/>
        <v>0</v>
      </c>
      <c r="H45" s="1053"/>
      <c r="I45" s="1053">
        <f t="shared" si="3"/>
        <v>0</v>
      </c>
      <c r="J45" s="1053">
        <f t="shared" si="3"/>
        <v>0</v>
      </c>
      <c r="K45" s="1053">
        <f t="shared" si="3"/>
        <v>0</v>
      </c>
      <c r="L45" s="1053"/>
      <c r="M45" s="851">
        <v>0</v>
      </c>
      <c r="N45" s="851">
        <v>0</v>
      </c>
      <c r="O45" s="851">
        <v>0</v>
      </c>
      <c r="P45" s="1053"/>
      <c r="Q45" s="851">
        <v>0</v>
      </c>
      <c r="R45" s="851">
        <v>0</v>
      </c>
      <c r="S45" s="851">
        <v>0</v>
      </c>
    </row>
    <row r="46" spans="1:19">
      <c r="A46" s="1083">
        <f t="shared" si="4"/>
        <v>5.1899999999999959</v>
      </c>
      <c r="B46" s="851" t="s">
        <v>1113</v>
      </c>
      <c r="C46" s="1053">
        <f t="shared" si="0"/>
        <v>-70199.350000000006</v>
      </c>
      <c r="D46" s="1053">
        <f t="shared" si="1"/>
        <v>-42119.61</v>
      </c>
      <c r="E46" s="1053"/>
      <c r="F46" s="1053"/>
      <c r="G46" s="1053">
        <f t="shared" si="2"/>
        <v>-56159</v>
      </c>
      <c r="H46" s="1053"/>
      <c r="I46" s="1053">
        <f t="shared" si="3"/>
        <v>-52751.56</v>
      </c>
      <c r="J46" s="1053">
        <f t="shared" si="3"/>
        <v>-1617.24</v>
      </c>
      <c r="K46" s="1053">
        <f t="shared" si="3"/>
        <v>-1790.6799999999998</v>
      </c>
      <c r="L46" s="1053"/>
      <c r="M46" s="851">
        <v>-65939.45</v>
      </c>
      <c r="N46" s="851">
        <v>-2021.55</v>
      </c>
      <c r="O46" s="851">
        <v>-2238.35</v>
      </c>
      <c r="P46" s="1053"/>
      <c r="Q46" s="851">
        <v>-39563.67</v>
      </c>
      <c r="R46" s="851">
        <v>-1212.93</v>
      </c>
      <c r="S46" s="851">
        <v>-1343.01</v>
      </c>
    </row>
    <row r="47" spans="1:19">
      <c r="A47" s="1083">
        <f t="shared" si="4"/>
        <v>5.1999999999999957</v>
      </c>
      <c r="B47" s="851" t="s">
        <v>1114</v>
      </c>
      <c r="C47" s="1053">
        <f t="shared" si="0"/>
        <v>0</v>
      </c>
      <c r="D47" s="1053">
        <f t="shared" si="1"/>
        <v>0</v>
      </c>
      <c r="E47" s="1053"/>
      <c r="F47" s="1053"/>
      <c r="G47" s="1053">
        <f t="shared" si="2"/>
        <v>0</v>
      </c>
      <c r="H47" s="1053"/>
      <c r="I47" s="1053">
        <f t="shared" si="3"/>
        <v>0</v>
      </c>
      <c r="J47" s="1053">
        <f t="shared" si="3"/>
        <v>0</v>
      </c>
      <c r="K47" s="1053">
        <f t="shared" si="3"/>
        <v>0</v>
      </c>
      <c r="L47" s="1053"/>
      <c r="M47" s="851">
        <v>0</v>
      </c>
      <c r="N47" s="851">
        <v>0</v>
      </c>
      <c r="O47" s="851">
        <v>0</v>
      </c>
      <c r="P47" s="1053"/>
      <c r="Q47" s="851">
        <v>0</v>
      </c>
      <c r="R47" s="851">
        <v>0</v>
      </c>
      <c r="S47" s="851">
        <v>0</v>
      </c>
    </row>
    <row r="48" spans="1:19">
      <c r="A48" s="1083">
        <f t="shared" si="4"/>
        <v>5.2099999999999955</v>
      </c>
      <c r="B48" s="851" t="s">
        <v>1115</v>
      </c>
      <c r="C48" s="1053">
        <f t="shared" si="0"/>
        <v>16653461.02</v>
      </c>
      <c r="D48" s="1053">
        <f t="shared" si="1"/>
        <v>9910970.5500000007</v>
      </c>
      <c r="E48" s="1053"/>
      <c r="F48" s="1053"/>
      <c r="G48" s="1053">
        <f t="shared" si="2"/>
        <v>13282216</v>
      </c>
      <c r="H48" s="1053"/>
      <c r="I48" s="1053">
        <f t="shared" si="3"/>
        <v>8962003.3549999986</v>
      </c>
      <c r="J48" s="1053">
        <f t="shared" si="3"/>
        <v>1434811.3600000003</v>
      </c>
      <c r="K48" s="1053">
        <f t="shared" si="3"/>
        <v>2885401.0700000003</v>
      </c>
      <c r="L48" s="1053"/>
      <c r="M48" s="851">
        <v>11449767.309999999</v>
      </c>
      <c r="N48" s="851">
        <v>1736185.9100000001</v>
      </c>
      <c r="O48" s="851">
        <v>3467507.8000000007</v>
      </c>
      <c r="P48" s="1053"/>
      <c r="Q48" s="851">
        <v>6474239.3999999994</v>
      </c>
      <c r="R48" s="851">
        <v>1133436.8100000005</v>
      </c>
      <c r="S48" s="851">
        <v>2303294.34</v>
      </c>
    </row>
    <row r="49" spans="1:19">
      <c r="A49" s="1083">
        <f t="shared" si="4"/>
        <v>5.2199999999999953</v>
      </c>
      <c r="B49" s="851" t="s">
        <v>1116</v>
      </c>
      <c r="C49" s="1053">
        <f t="shared" ref="C49:C55" si="7">SUM(M49:O49)</f>
        <v>112833638.55</v>
      </c>
      <c r="D49" s="1053">
        <f t="shared" ref="D49:D55" si="8">SUM(Q49:S49)</f>
        <v>87405331.74000001</v>
      </c>
      <c r="E49" s="1053"/>
      <c r="F49" s="1053"/>
      <c r="G49" s="1053">
        <f t="shared" si="2"/>
        <v>100119485</v>
      </c>
      <c r="H49" s="1053"/>
      <c r="I49" s="1053">
        <f t="shared" si="3"/>
        <v>82714106</v>
      </c>
      <c r="J49" s="1053">
        <f t="shared" si="3"/>
        <v>5471415.0049999999</v>
      </c>
      <c r="K49" s="1053">
        <f t="shared" si="3"/>
        <v>11933964.140000001</v>
      </c>
      <c r="L49" s="1053"/>
      <c r="M49" s="851">
        <v>99778638.549999997</v>
      </c>
      <c r="N49" s="851">
        <v>3367000</v>
      </c>
      <c r="O49" s="851">
        <v>9688000</v>
      </c>
      <c r="P49" s="1053"/>
      <c r="Q49" s="851">
        <v>65649573.450000003</v>
      </c>
      <c r="R49" s="851">
        <v>7575830.0099999998</v>
      </c>
      <c r="S49" s="851">
        <v>14179928.279999999</v>
      </c>
    </row>
    <row r="50" spans="1:19">
      <c r="A50" s="1083">
        <f t="shared" si="4"/>
        <v>5.2299999999999951</v>
      </c>
      <c r="B50" s="851" t="s">
        <v>1117</v>
      </c>
      <c r="C50" s="1053">
        <f t="shared" si="7"/>
        <v>159720270.11000001</v>
      </c>
      <c r="D50" s="1053">
        <f t="shared" si="8"/>
        <v>154336212</v>
      </c>
      <c r="E50" s="1053"/>
      <c r="F50" s="1053"/>
      <c r="G50" s="1053">
        <f t="shared" si="2"/>
        <v>157028241</v>
      </c>
      <c r="H50" s="1053"/>
      <c r="I50" s="1053">
        <f t="shared" si="3"/>
        <v>70999124.454999998</v>
      </c>
      <c r="J50" s="1053">
        <f t="shared" si="3"/>
        <v>25114711.335000001</v>
      </c>
      <c r="K50" s="1053">
        <f t="shared" si="3"/>
        <v>60914405.265000001</v>
      </c>
      <c r="L50" s="1053"/>
      <c r="M50" s="851">
        <v>89984520.109999999</v>
      </c>
      <c r="N50" s="851">
        <v>16766400</v>
      </c>
      <c r="O50" s="851">
        <v>52969350</v>
      </c>
      <c r="P50" s="1053"/>
      <c r="Q50" s="851">
        <v>52013728.799999997</v>
      </c>
      <c r="R50" s="851">
        <v>33463022.670000002</v>
      </c>
      <c r="S50" s="851">
        <v>68859460.530000001</v>
      </c>
    </row>
    <row r="51" spans="1:19">
      <c r="A51" s="1083">
        <f t="shared" si="4"/>
        <v>5.2399999999999949</v>
      </c>
      <c r="B51" s="851" t="s">
        <v>1118</v>
      </c>
      <c r="C51" s="1053">
        <f t="shared" si="7"/>
        <v>0</v>
      </c>
      <c r="D51" s="1053">
        <f t="shared" si="8"/>
        <v>5493384.54</v>
      </c>
      <c r="E51" s="1053"/>
      <c r="F51" s="1053"/>
      <c r="G51" s="1053">
        <f>ROUND(SUM(C51:F51)/2,0)</f>
        <v>2746692</v>
      </c>
      <c r="H51" s="1053"/>
      <c r="I51" s="1053">
        <f t="shared" si="3"/>
        <v>0</v>
      </c>
      <c r="J51" s="1053">
        <f t="shared" si="3"/>
        <v>0</v>
      </c>
      <c r="K51" s="1053">
        <f t="shared" si="3"/>
        <v>2746692.27</v>
      </c>
      <c r="L51" s="1053"/>
      <c r="M51" s="851">
        <v>0</v>
      </c>
      <c r="N51" s="851">
        <v>0</v>
      </c>
      <c r="O51" s="851">
        <v>0</v>
      </c>
      <c r="P51" s="1053"/>
      <c r="Q51" s="851">
        <v>0</v>
      </c>
      <c r="R51" s="851">
        <v>0</v>
      </c>
      <c r="S51" s="851">
        <v>5493384.54</v>
      </c>
    </row>
    <row r="52" spans="1:19">
      <c r="A52" s="1083">
        <f t="shared" si="4"/>
        <v>5.2499999999999947</v>
      </c>
      <c r="B52" s="851" t="s">
        <v>1119</v>
      </c>
      <c r="C52" s="1053">
        <f t="shared" si="7"/>
        <v>0</v>
      </c>
      <c r="D52" s="1053">
        <f t="shared" si="8"/>
        <v>27928000.59</v>
      </c>
      <c r="E52" s="1053"/>
      <c r="F52" s="1053"/>
      <c r="G52" s="1053">
        <f>ROUND(SUM(C52:F52)/2,0)</f>
        <v>13964000</v>
      </c>
      <c r="H52" s="1053"/>
      <c r="I52" s="1053">
        <f t="shared" si="3"/>
        <v>0</v>
      </c>
      <c r="J52" s="1053">
        <f t="shared" si="3"/>
        <v>0</v>
      </c>
      <c r="K52" s="1053">
        <f t="shared" si="3"/>
        <v>13964000.295</v>
      </c>
      <c r="L52" s="1053"/>
      <c r="M52" s="851">
        <v>0</v>
      </c>
      <c r="N52" s="851">
        <v>0</v>
      </c>
      <c r="O52" s="851">
        <v>0</v>
      </c>
      <c r="P52" s="1053"/>
      <c r="Q52" s="851">
        <v>0</v>
      </c>
      <c r="R52" s="851">
        <v>0</v>
      </c>
      <c r="S52" s="851">
        <v>27928000.59</v>
      </c>
    </row>
    <row r="53" spans="1:19">
      <c r="A53" s="1083">
        <f t="shared" si="4"/>
        <v>5.2599999999999945</v>
      </c>
      <c r="B53" s="851" t="s">
        <v>1120</v>
      </c>
      <c r="C53" s="1053">
        <f t="shared" si="7"/>
        <v>27045496.899999999</v>
      </c>
      <c r="D53" s="1053">
        <f t="shared" si="8"/>
        <v>15530410.619999999</v>
      </c>
      <c r="E53" s="1053"/>
      <c r="F53" s="1053"/>
      <c r="G53" s="1053">
        <f>ROUND(SUM(C53:F53)/2,0)</f>
        <v>21287954</v>
      </c>
      <c r="H53" s="1053"/>
      <c r="I53" s="1053">
        <f t="shared" si="3"/>
        <v>21287953.759999998</v>
      </c>
      <c r="J53" s="1053">
        <f t="shared" si="3"/>
        <v>0</v>
      </c>
      <c r="K53" s="1053">
        <f t="shared" si="3"/>
        <v>0</v>
      </c>
      <c r="L53" s="1053"/>
      <c r="M53" s="851">
        <v>27045496.899999999</v>
      </c>
      <c r="N53" s="851">
        <v>0</v>
      </c>
      <c r="O53" s="851">
        <v>0</v>
      </c>
      <c r="P53" s="1053"/>
      <c r="Q53" s="851">
        <v>15530410.619999999</v>
      </c>
      <c r="R53" s="851">
        <v>0</v>
      </c>
      <c r="S53" s="851">
        <v>0</v>
      </c>
    </row>
    <row r="54" spans="1:19">
      <c r="A54" s="1083">
        <f t="shared" si="4"/>
        <v>5.2699999999999942</v>
      </c>
      <c r="B54" s="851" t="s">
        <v>1121</v>
      </c>
      <c r="C54" s="1053">
        <f t="shared" si="7"/>
        <v>5444909.6900000004</v>
      </c>
      <c r="D54" s="1053">
        <f t="shared" si="8"/>
        <v>3049028.39</v>
      </c>
      <c r="E54" s="1053"/>
      <c r="F54" s="1053"/>
      <c r="G54" s="1053">
        <f>ROUND(SUM(C54:F54)/2,0)</f>
        <v>4246969</v>
      </c>
      <c r="H54" s="1053"/>
      <c r="I54" s="1053">
        <f t="shared" si="3"/>
        <v>4246969.04</v>
      </c>
      <c r="J54" s="1053">
        <f t="shared" si="3"/>
        <v>0</v>
      </c>
      <c r="K54" s="1053">
        <f t="shared" si="3"/>
        <v>0</v>
      </c>
      <c r="L54" s="1053"/>
      <c r="M54" s="851">
        <v>5444909.6900000004</v>
      </c>
      <c r="N54" s="851">
        <v>0</v>
      </c>
      <c r="O54" s="851">
        <v>0</v>
      </c>
      <c r="P54" s="1053"/>
      <c r="Q54" s="851">
        <v>3049028.39</v>
      </c>
      <c r="R54" s="851">
        <v>0</v>
      </c>
      <c r="S54" s="851">
        <v>0</v>
      </c>
    </row>
    <row r="55" spans="1:19">
      <c r="A55" s="1083">
        <f t="shared" si="4"/>
        <v>5.279999999999994</v>
      </c>
      <c r="B55" s="851" t="s">
        <v>1122</v>
      </c>
      <c r="C55" s="1053">
        <f t="shared" si="7"/>
        <v>3163998.5999999996</v>
      </c>
      <c r="D55" s="1053">
        <f t="shared" si="8"/>
        <v>2135699.16</v>
      </c>
      <c r="E55" s="1053"/>
      <c r="F55" s="1053"/>
      <c r="G55" s="1053">
        <f>ROUND(SUM(C55:F55)/2,0)</f>
        <v>2649849</v>
      </c>
      <c r="H55" s="1053"/>
      <c r="I55" s="1053">
        <f t="shared" si="3"/>
        <v>909857.09499999997</v>
      </c>
      <c r="J55" s="1053">
        <f t="shared" si="3"/>
        <v>429581.11</v>
      </c>
      <c r="K55" s="1053">
        <f t="shared" si="3"/>
        <v>1310410.6749999998</v>
      </c>
      <c r="L55" s="1053"/>
      <c r="M55" s="851">
        <v>1086396.5</v>
      </c>
      <c r="N55" s="851">
        <v>512932.7</v>
      </c>
      <c r="O55" s="851">
        <v>1564669.4</v>
      </c>
      <c r="P55" s="1053"/>
      <c r="Q55" s="851">
        <v>733317.69</v>
      </c>
      <c r="R55" s="851">
        <v>346229.52</v>
      </c>
      <c r="S55" s="851">
        <v>1056151.95</v>
      </c>
    </row>
    <row r="56" spans="1:19">
      <c r="A56" s="1083">
        <f t="shared" si="4"/>
        <v>5.2899999999999938</v>
      </c>
      <c r="B56" s="851" t="s">
        <v>1123</v>
      </c>
      <c r="C56" s="1053">
        <f t="shared" si="0"/>
        <v>4791946.75</v>
      </c>
      <c r="D56" s="1053">
        <f t="shared" si="1"/>
        <v>3012597.64</v>
      </c>
      <c r="E56" s="1053"/>
      <c r="F56" s="1053"/>
      <c r="G56" s="1053">
        <f t="shared" ref="G56:G64" si="9">ROUND(SUM(C56:F56)/2,0)</f>
        <v>3902272</v>
      </c>
      <c r="H56" s="1053"/>
      <c r="I56" s="1053">
        <f t="shared" si="3"/>
        <v>0</v>
      </c>
      <c r="J56" s="1053">
        <f t="shared" si="3"/>
        <v>376061.51999999996</v>
      </c>
      <c r="K56" s="1053">
        <f t="shared" si="3"/>
        <v>3526210.6749999998</v>
      </c>
      <c r="L56" s="1053"/>
      <c r="M56" s="851">
        <v>0</v>
      </c>
      <c r="N56" s="851">
        <v>411755.44999999995</v>
      </c>
      <c r="O56" s="851">
        <v>4380191.3</v>
      </c>
      <c r="P56" s="1053"/>
      <c r="Q56" s="851">
        <v>0</v>
      </c>
      <c r="R56" s="851">
        <v>340367.58999999997</v>
      </c>
      <c r="S56" s="851">
        <v>2672230.0500000003</v>
      </c>
    </row>
    <row r="57" spans="1:19">
      <c r="A57" s="1083">
        <f t="shared" si="4"/>
        <v>5.2999999999999936</v>
      </c>
      <c r="B57" s="851" t="s">
        <v>1124</v>
      </c>
      <c r="C57" s="1053">
        <f t="shared" si="0"/>
        <v>27692.63</v>
      </c>
      <c r="D57" s="1053">
        <f t="shared" si="1"/>
        <v>11503.1</v>
      </c>
      <c r="E57" s="1053"/>
      <c r="F57" s="1053"/>
      <c r="G57" s="1053">
        <f t="shared" si="9"/>
        <v>19598</v>
      </c>
      <c r="H57" s="1053"/>
      <c r="I57" s="1053">
        <f t="shared" si="3"/>
        <v>0</v>
      </c>
      <c r="J57" s="1053">
        <f t="shared" si="3"/>
        <v>0</v>
      </c>
      <c r="K57" s="1053">
        <f t="shared" si="3"/>
        <v>19597.865000000002</v>
      </c>
      <c r="L57" s="1053"/>
      <c r="M57" s="851">
        <v>0</v>
      </c>
      <c r="N57" s="851">
        <v>0</v>
      </c>
      <c r="O57" s="851">
        <v>27692.63</v>
      </c>
      <c r="P57" s="1053"/>
      <c r="Q57" s="851">
        <v>0</v>
      </c>
      <c r="R57" s="851">
        <v>0</v>
      </c>
      <c r="S57" s="851">
        <v>11503.1</v>
      </c>
    </row>
    <row r="58" spans="1:19">
      <c r="A58" s="1083">
        <f t="shared" si="4"/>
        <v>5.3099999999999934</v>
      </c>
      <c r="B58" s="851" t="s">
        <v>1125</v>
      </c>
      <c r="C58" s="1053">
        <f>SUM(M58:O58)</f>
        <v>0</v>
      </c>
      <c r="D58" s="1053">
        <f>SUM(Q58:S58)</f>
        <v>0</v>
      </c>
      <c r="E58" s="1053"/>
      <c r="F58" s="1053"/>
      <c r="G58" s="1053">
        <f>ROUND(SUM(C58:F58)/2,0)</f>
        <v>0</v>
      </c>
      <c r="H58" s="1053"/>
      <c r="I58" s="1053">
        <f t="shared" si="3"/>
        <v>0</v>
      </c>
      <c r="J58" s="1053">
        <f t="shared" si="3"/>
        <v>0</v>
      </c>
      <c r="K58" s="1053">
        <f t="shared" si="3"/>
        <v>0</v>
      </c>
      <c r="L58" s="1053"/>
      <c r="M58" s="851">
        <v>0</v>
      </c>
      <c r="N58" s="851">
        <v>0</v>
      </c>
      <c r="O58" s="851">
        <v>0</v>
      </c>
      <c r="P58" s="1053"/>
      <c r="Q58" s="851">
        <v>0</v>
      </c>
      <c r="R58" s="851">
        <v>0</v>
      </c>
      <c r="S58" s="851">
        <v>0</v>
      </c>
    </row>
    <row r="59" spans="1:19">
      <c r="A59" s="1083">
        <f t="shared" si="4"/>
        <v>5.3199999999999932</v>
      </c>
      <c r="B59" s="851" t="s">
        <v>1126</v>
      </c>
      <c r="C59" s="1053">
        <f t="shared" si="0"/>
        <v>-13749132.6</v>
      </c>
      <c r="D59" s="1053">
        <f t="shared" si="1"/>
        <v>-8249479.5599999996</v>
      </c>
      <c r="E59" s="1053"/>
      <c r="F59" s="1053"/>
      <c r="G59" s="1053">
        <f t="shared" si="9"/>
        <v>-10999306</v>
      </c>
      <c r="H59" s="1053"/>
      <c r="I59" s="1053">
        <f t="shared" si="3"/>
        <v>-10999306.08</v>
      </c>
      <c r="J59" s="1053">
        <f t="shared" si="3"/>
        <v>0</v>
      </c>
      <c r="K59" s="1053">
        <f t="shared" si="3"/>
        <v>0</v>
      </c>
      <c r="L59" s="1053"/>
      <c r="M59" s="851">
        <v>-13749132.6</v>
      </c>
      <c r="N59" s="851">
        <v>0</v>
      </c>
      <c r="O59" s="851">
        <v>0</v>
      </c>
      <c r="P59" s="1053"/>
      <c r="Q59" s="851">
        <v>-8249479.5599999996</v>
      </c>
      <c r="R59" s="851">
        <v>0</v>
      </c>
      <c r="S59" s="851">
        <v>0</v>
      </c>
    </row>
    <row r="60" spans="1:19">
      <c r="A60" s="1083">
        <f t="shared" si="4"/>
        <v>5.329999999999993</v>
      </c>
      <c r="B60" s="851" t="s">
        <v>1127</v>
      </c>
      <c r="C60" s="1053">
        <f t="shared" si="0"/>
        <v>0</v>
      </c>
      <c r="D60" s="1053">
        <f t="shared" si="1"/>
        <v>0</v>
      </c>
      <c r="E60" s="1053"/>
      <c r="F60" s="1053"/>
      <c r="G60" s="1053">
        <f t="shared" si="9"/>
        <v>0</v>
      </c>
      <c r="H60" s="1053"/>
      <c r="I60" s="1053">
        <f t="shared" si="3"/>
        <v>0</v>
      </c>
      <c r="J60" s="1053">
        <f t="shared" si="3"/>
        <v>0</v>
      </c>
      <c r="K60" s="1053">
        <f t="shared" si="3"/>
        <v>0</v>
      </c>
      <c r="L60" s="1053"/>
      <c r="M60" s="851">
        <v>0</v>
      </c>
      <c r="N60" s="851">
        <v>0</v>
      </c>
      <c r="O60" s="851">
        <v>0</v>
      </c>
      <c r="P60" s="1053"/>
      <c r="Q60" s="851">
        <v>0</v>
      </c>
      <c r="R60" s="851">
        <v>0</v>
      </c>
      <c r="S60" s="851">
        <v>0</v>
      </c>
    </row>
    <row r="61" spans="1:19">
      <c r="A61" s="1083">
        <f t="shared" si="4"/>
        <v>5.3399999999999928</v>
      </c>
      <c r="B61" s="851" t="s">
        <v>1128</v>
      </c>
      <c r="C61" s="1053">
        <f>SUM(M61:O61)</f>
        <v>0</v>
      </c>
      <c r="D61" s="1053">
        <f>SUM(Q61:S61)</f>
        <v>0</v>
      </c>
      <c r="E61" s="1053"/>
      <c r="F61" s="1053"/>
      <c r="G61" s="1053">
        <f>ROUND(SUM(C61:F61)/2,0)</f>
        <v>0</v>
      </c>
      <c r="H61" s="1053"/>
      <c r="I61" s="1053">
        <f t="shared" si="3"/>
        <v>0</v>
      </c>
      <c r="J61" s="1053">
        <f t="shared" si="3"/>
        <v>0</v>
      </c>
      <c r="K61" s="1053">
        <f t="shared" si="3"/>
        <v>0</v>
      </c>
      <c r="L61" s="1053"/>
      <c r="M61" s="851">
        <v>0</v>
      </c>
      <c r="N61" s="851">
        <v>0</v>
      </c>
      <c r="O61" s="851">
        <v>0</v>
      </c>
      <c r="P61" s="1053"/>
      <c r="Q61" s="851">
        <v>0</v>
      </c>
      <c r="R61" s="851">
        <v>0</v>
      </c>
      <c r="S61" s="851">
        <v>0</v>
      </c>
    </row>
    <row r="62" spans="1:19">
      <c r="A62" s="1083">
        <f t="shared" si="4"/>
        <v>5.3499999999999925</v>
      </c>
      <c r="B62" s="851" t="s">
        <v>1129</v>
      </c>
      <c r="C62" s="1053">
        <f t="shared" si="0"/>
        <v>0</v>
      </c>
      <c r="D62" s="1053">
        <f t="shared" si="1"/>
        <v>0</v>
      </c>
      <c r="E62" s="1053"/>
      <c r="F62" s="1053"/>
      <c r="G62" s="1053">
        <f t="shared" si="9"/>
        <v>0</v>
      </c>
      <c r="H62" s="1053"/>
      <c r="I62" s="1053">
        <f t="shared" si="3"/>
        <v>0</v>
      </c>
      <c r="J62" s="1053">
        <f t="shared" si="3"/>
        <v>0</v>
      </c>
      <c r="K62" s="1053">
        <f t="shared" si="3"/>
        <v>0</v>
      </c>
      <c r="L62" s="1053"/>
      <c r="M62" s="851">
        <v>0</v>
      </c>
      <c r="N62" s="851">
        <v>0</v>
      </c>
      <c r="O62" s="851">
        <v>0</v>
      </c>
      <c r="P62" s="1053"/>
      <c r="Q62" s="851">
        <v>0</v>
      </c>
      <c r="R62" s="851">
        <v>0</v>
      </c>
      <c r="S62" s="851">
        <v>0</v>
      </c>
    </row>
    <row r="63" spans="1:19">
      <c r="A63" s="1083">
        <f t="shared" si="4"/>
        <v>5.3599999999999923</v>
      </c>
      <c r="B63" s="851" t="s">
        <v>1130</v>
      </c>
      <c r="C63" s="1053">
        <f t="shared" si="0"/>
        <v>1654241</v>
      </c>
      <c r="D63" s="1053">
        <f t="shared" si="1"/>
        <v>928509.6</v>
      </c>
      <c r="E63" s="1053"/>
      <c r="F63" s="1053"/>
      <c r="G63" s="1053">
        <f t="shared" si="9"/>
        <v>1291375</v>
      </c>
      <c r="H63" s="1053"/>
      <c r="I63" s="1053">
        <f t="shared" si="3"/>
        <v>1291375.3</v>
      </c>
      <c r="J63" s="1053">
        <f t="shared" si="3"/>
        <v>0</v>
      </c>
      <c r="K63" s="1053">
        <f t="shared" si="3"/>
        <v>0</v>
      </c>
      <c r="L63" s="1053"/>
      <c r="M63" s="851">
        <v>1654241</v>
      </c>
      <c r="N63" s="851">
        <v>0</v>
      </c>
      <c r="O63" s="851">
        <v>0</v>
      </c>
      <c r="P63" s="1053"/>
      <c r="Q63" s="851">
        <v>928509.6</v>
      </c>
      <c r="R63" s="851">
        <v>0</v>
      </c>
      <c r="S63" s="851">
        <v>0</v>
      </c>
    </row>
    <row r="64" spans="1:19">
      <c r="A64" s="1083">
        <f t="shared" si="4"/>
        <v>5.3699999999999921</v>
      </c>
      <c r="B64" s="851" t="s">
        <v>1131</v>
      </c>
      <c r="C64" s="1057">
        <f t="shared" si="0"/>
        <v>-64317.49</v>
      </c>
      <c r="D64" s="1057">
        <f t="shared" si="1"/>
        <v>-38590.49</v>
      </c>
      <c r="E64" s="1057"/>
      <c r="F64" s="1057"/>
      <c r="G64" s="1057">
        <f t="shared" si="9"/>
        <v>-51454</v>
      </c>
      <c r="H64" s="1057"/>
      <c r="I64" s="1057">
        <f t="shared" si="3"/>
        <v>-51453.99</v>
      </c>
      <c r="J64" s="1057">
        <f t="shared" si="3"/>
        <v>0</v>
      </c>
      <c r="K64" s="1057">
        <f t="shared" si="3"/>
        <v>0</v>
      </c>
      <c r="L64" s="1057"/>
      <c r="M64" s="851">
        <v>-64317.49</v>
      </c>
      <c r="N64" s="851">
        <v>0</v>
      </c>
      <c r="O64" s="851">
        <v>0</v>
      </c>
      <c r="P64" s="1057"/>
      <c r="Q64" s="851">
        <v>-38590.49</v>
      </c>
      <c r="R64" s="851">
        <v>0</v>
      </c>
      <c r="S64" s="851">
        <v>0</v>
      </c>
    </row>
    <row r="65" spans="1:19">
      <c r="A65" s="1083">
        <f t="shared" si="4"/>
        <v>5.3799999999999919</v>
      </c>
      <c r="B65" s="851" t="s">
        <v>1132</v>
      </c>
      <c r="C65" s="1057">
        <f>SUM(M65:O65)</f>
        <v>-798375.82</v>
      </c>
      <c r="D65" s="1057">
        <f>SUM(Q65:S65)</f>
        <v>-479025.49</v>
      </c>
      <c r="E65" s="1057"/>
      <c r="F65" s="1057"/>
      <c r="G65" s="1057">
        <f t="shared" ref="G65:G70" si="10">ROUND(SUM(C65:F65)/2,0)</f>
        <v>-638701</v>
      </c>
      <c r="H65" s="1057"/>
      <c r="I65" s="1057">
        <f t="shared" si="3"/>
        <v>-638700.65500000003</v>
      </c>
      <c r="J65" s="1057">
        <f t="shared" si="3"/>
        <v>0</v>
      </c>
      <c r="K65" s="1057">
        <f t="shared" si="3"/>
        <v>0</v>
      </c>
      <c r="L65" s="1057"/>
      <c r="M65" s="851">
        <v>-798375.82</v>
      </c>
      <c r="N65" s="851">
        <v>0</v>
      </c>
      <c r="O65" s="851">
        <v>0</v>
      </c>
      <c r="P65" s="1057"/>
      <c r="Q65" s="851">
        <v>-479025.49</v>
      </c>
      <c r="R65" s="851">
        <v>0</v>
      </c>
      <c r="S65" s="851">
        <v>0</v>
      </c>
    </row>
    <row r="66" spans="1:19">
      <c r="A66" s="1083">
        <f t="shared" si="4"/>
        <v>5.3899999999999917</v>
      </c>
      <c r="B66" s="851" t="s">
        <v>1133</v>
      </c>
      <c r="C66" s="1053">
        <f t="shared" ref="C66:C74" si="11">SUM(M66:O66)</f>
        <v>-316318.7</v>
      </c>
      <c r="D66" s="1053">
        <f t="shared" ref="D66:D74" si="12">SUM(Q66:S66)</f>
        <v>-189791.22</v>
      </c>
      <c r="E66" s="1053"/>
      <c r="F66" s="1053"/>
      <c r="G66" s="1053">
        <f t="shared" si="10"/>
        <v>-253055</v>
      </c>
      <c r="H66" s="1053"/>
      <c r="I66" s="1053">
        <f t="shared" ref="I66:I74" si="13">(M66+Q66)/2</f>
        <v>-253054.96000000002</v>
      </c>
      <c r="J66" s="1053">
        <f t="shared" ref="J66:J74" si="14">(N66+R66)/2</f>
        <v>0</v>
      </c>
      <c r="K66" s="1053">
        <f t="shared" ref="K66:K74" si="15">(O66+S66)/2</f>
        <v>0</v>
      </c>
      <c r="L66" s="1053"/>
      <c r="M66" s="851">
        <v>-316318.7</v>
      </c>
      <c r="N66" s="851">
        <v>0</v>
      </c>
      <c r="O66" s="851">
        <v>0</v>
      </c>
      <c r="P66" s="1053"/>
      <c r="Q66" s="851">
        <v>-189791.22</v>
      </c>
      <c r="R66" s="851">
        <v>0</v>
      </c>
      <c r="S66" s="851">
        <v>0</v>
      </c>
    </row>
    <row r="67" spans="1:19">
      <c r="A67" s="1083">
        <f t="shared" si="4"/>
        <v>5.3999999999999915</v>
      </c>
      <c r="B67" s="851" t="s">
        <v>1134</v>
      </c>
      <c r="C67" s="1053">
        <f t="shared" si="11"/>
        <v>312822</v>
      </c>
      <c r="D67" s="1053">
        <f t="shared" si="12"/>
        <v>187693.2</v>
      </c>
      <c r="E67" s="1053"/>
      <c r="F67" s="1053"/>
      <c r="G67" s="1053">
        <f t="shared" si="10"/>
        <v>250258</v>
      </c>
      <c r="H67" s="1053"/>
      <c r="I67" s="1053">
        <f t="shared" si="13"/>
        <v>250257.6</v>
      </c>
      <c r="J67" s="1053">
        <f t="shared" si="14"/>
        <v>0</v>
      </c>
      <c r="K67" s="1053">
        <f t="shared" si="15"/>
        <v>0</v>
      </c>
      <c r="L67" s="1053"/>
      <c r="M67" s="851">
        <v>312822</v>
      </c>
      <c r="N67" s="851">
        <v>0</v>
      </c>
      <c r="O67" s="851">
        <v>0</v>
      </c>
      <c r="P67" s="1053"/>
      <c r="Q67" s="851">
        <v>187693.2</v>
      </c>
      <c r="R67" s="851">
        <v>0</v>
      </c>
      <c r="S67" s="851">
        <v>0</v>
      </c>
    </row>
    <row r="68" spans="1:19">
      <c r="A68" s="1083">
        <f t="shared" si="4"/>
        <v>5.4099999999999913</v>
      </c>
      <c r="B68" s="851" t="s">
        <v>1135</v>
      </c>
      <c r="C68" s="1053">
        <f t="shared" si="11"/>
        <v>0</v>
      </c>
      <c r="D68" s="1053">
        <f t="shared" si="12"/>
        <v>0</v>
      </c>
      <c r="E68" s="1053"/>
      <c r="F68" s="1053"/>
      <c r="G68" s="1053">
        <f t="shared" si="10"/>
        <v>0</v>
      </c>
      <c r="H68" s="1053"/>
      <c r="I68" s="1053">
        <f t="shared" si="13"/>
        <v>0</v>
      </c>
      <c r="J68" s="1053">
        <f t="shared" si="14"/>
        <v>0</v>
      </c>
      <c r="K68" s="1053">
        <f t="shared" si="15"/>
        <v>0</v>
      </c>
      <c r="L68" s="1053"/>
      <c r="M68" s="851">
        <v>0</v>
      </c>
      <c r="N68" s="851">
        <v>0</v>
      </c>
      <c r="O68" s="851">
        <v>0</v>
      </c>
      <c r="P68" s="1053"/>
      <c r="Q68" s="851">
        <v>0</v>
      </c>
      <c r="R68" s="851">
        <v>0</v>
      </c>
      <c r="S68" s="851">
        <v>0</v>
      </c>
    </row>
    <row r="69" spans="1:19">
      <c r="A69" s="1083">
        <f t="shared" si="4"/>
        <v>5.419999999999991</v>
      </c>
      <c r="B69" s="851" t="s">
        <v>1136</v>
      </c>
      <c r="C69" s="1053">
        <f t="shared" si="11"/>
        <v>126527.48</v>
      </c>
      <c r="D69" s="1053">
        <f t="shared" si="12"/>
        <v>0</v>
      </c>
      <c r="E69" s="1053"/>
      <c r="F69" s="1053"/>
      <c r="G69" s="1053">
        <f t="shared" si="10"/>
        <v>63264</v>
      </c>
      <c r="H69" s="1053"/>
      <c r="I69" s="1053">
        <f t="shared" si="13"/>
        <v>63263.74</v>
      </c>
      <c r="J69" s="1053">
        <f t="shared" si="14"/>
        <v>0</v>
      </c>
      <c r="K69" s="1053">
        <f t="shared" si="15"/>
        <v>0</v>
      </c>
      <c r="L69" s="1053"/>
      <c r="M69" s="851">
        <v>126527.48</v>
      </c>
      <c r="N69" s="851">
        <v>0</v>
      </c>
      <c r="O69" s="851">
        <v>0</v>
      </c>
      <c r="P69" s="1053"/>
      <c r="Q69" s="851">
        <v>0</v>
      </c>
      <c r="R69" s="851">
        <v>0</v>
      </c>
      <c r="S69" s="851">
        <v>0</v>
      </c>
    </row>
    <row r="70" spans="1:19">
      <c r="A70" s="1083">
        <f t="shared" si="4"/>
        <v>5.4299999999999908</v>
      </c>
      <c r="B70" s="851" t="s">
        <v>1137</v>
      </c>
      <c r="C70" s="1053">
        <f t="shared" si="11"/>
        <v>0</v>
      </c>
      <c r="D70" s="1053">
        <f t="shared" si="12"/>
        <v>742696917.24000001</v>
      </c>
      <c r="E70" s="1053"/>
      <c r="F70" s="1053"/>
      <c r="G70" s="1053">
        <f t="shared" si="10"/>
        <v>371348459</v>
      </c>
      <c r="H70" s="1053"/>
      <c r="I70" s="1053">
        <f t="shared" si="13"/>
        <v>130598639.125</v>
      </c>
      <c r="J70" s="1053">
        <f t="shared" si="14"/>
        <v>108629406.80500001</v>
      </c>
      <c r="K70" s="1053">
        <f t="shared" si="15"/>
        <v>132120412.69</v>
      </c>
      <c r="L70" s="1053"/>
      <c r="M70" s="851">
        <v>0</v>
      </c>
      <c r="N70" s="851">
        <v>0</v>
      </c>
      <c r="O70" s="851">
        <v>0</v>
      </c>
      <c r="P70" s="1053"/>
      <c r="Q70" s="851">
        <v>261197278.25</v>
      </c>
      <c r="R70" s="851">
        <v>217258813.61000001</v>
      </c>
      <c r="S70" s="851">
        <v>264240825.38</v>
      </c>
    </row>
    <row r="71" spans="1:19">
      <c r="A71" s="1083">
        <f t="shared" si="4"/>
        <v>5.4399999999999906</v>
      </c>
      <c r="B71" s="851" t="s">
        <v>1092</v>
      </c>
      <c r="C71" s="1053">
        <f t="shared" si="11"/>
        <v>0</v>
      </c>
      <c r="D71" s="1053">
        <f t="shared" si="12"/>
        <v>0</v>
      </c>
      <c r="E71" s="1053">
        <v>-0.49</v>
      </c>
      <c r="F71" s="1053">
        <v>-0.49</v>
      </c>
      <c r="G71" s="1053">
        <f>-E71</f>
        <v>0.49</v>
      </c>
      <c r="H71" s="1053"/>
      <c r="I71" s="1053">
        <f t="shared" si="13"/>
        <v>0</v>
      </c>
      <c r="J71" s="1053">
        <f t="shared" si="14"/>
        <v>0</v>
      </c>
      <c r="K71" s="1053">
        <f t="shared" si="15"/>
        <v>0</v>
      </c>
      <c r="L71" s="1053"/>
      <c r="M71" s="851"/>
      <c r="N71" s="851"/>
      <c r="O71" s="851"/>
      <c r="P71" s="1053"/>
      <c r="Q71" s="851"/>
      <c r="R71" s="851"/>
      <c r="S71" s="851"/>
    </row>
    <row r="72" spans="1:19">
      <c r="A72" s="1083">
        <f t="shared" si="4"/>
        <v>5.4499999999999904</v>
      </c>
      <c r="B72" s="851" t="s">
        <v>1138</v>
      </c>
      <c r="C72" s="1053">
        <f>-E72</f>
        <v>75754461</v>
      </c>
      <c r="D72" s="1053">
        <f>-F72</f>
        <v>82899344</v>
      </c>
      <c r="E72" s="1053">
        <v>-75754461</v>
      </c>
      <c r="F72" s="1053">
        <v>-82899344</v>
      </c>
      <c r="G72" s="1053">
        <v>0</v>
      </c>
      <c r="H72" s="1053"/>
      <c r="I72" s="1053">
        <f t="shared" si="13"/>
        <v>0</v>
      </c>
      <c r="J72" s="1053">
        <f t="shared" si="14"/>
        <v>0</v>
      </c>
      <c r="K72" s="1053">
        <f t="shared" si="15"/>
        <v>0</v>
      </c>
      <c r="L72" s="1053"/>
      <c r="M72" s="851"/>
      <c r="N72" s="851"/>
      <c r="O72" s="851"/>
      <c r="P72" s="1053"/>
      <c r="Q72" s="851"/>
      <c r="R72" s="851"/>
      <c r="S72" s="851"/>
    </row>
    <row r="73" spans="1:19">
      <c r="A73" s="1083">
        <f t="shared" si="4"/>
        <v>5.4599999999999902</v>
      </c>
      <c r="B73" s="851" t="s">
        <v>1139</v>
      </c>
      <c r="C73" s="1053">
        <f>-E73</f>
        <v>-799504117</v>
      </c>
      <c r="D73" s="1053">
        <f>-F73</f>
        <v>-742696917</v>
      </c>
      <c r="E73" s="1053">
        <v>799504117</v>
      </c>
      <c r="F73" s="1053">
        <v>742696917</v>
      </c>
      <c r="G73" s="1053">
        <v>0</v>
      </c>
      <c r="H73" s="1053"/>
      <c r="I73" s="1053">
        <f t="shared" si="13"/>
        <v>0</v>
      </c>
      <c r="J73" s="1053">
        <f t="shared" si="14"/>
        <v>0</v>
      </c>
      <c r="K73" s="1053">
        <f t="shared" si="15"/>
        <v>0</v>
      </c>
      <c r="L73" s="1053"/>
      <c r="M73" s="851"/>
      <c r="N73" s="851"/>
      <c r="O73" s="851"/>
      <c r="P73" s="1053"/>
      <c r="Q73" s="851"/>
      <c r="R73" s="851"/>
      <c r="S73" s="851"/>
    </row>
    <row r="74" spans="1:19">
      <c r="A74" s="1083">
        <f t="shared" si="4"/>
        <v>5.46999999999999</v>
      </c>
      <c r="B74" s="851"/>
      <c r="C74" s="1053">
        <f t="shared" si="11"/>
        <v>0</v>
      </c>
      <c r="D74" s="1053">
        <f t="shared" si="12"/>
        <v>0</v>
      </c>
      <c r="E74" s="1053">
        <f>-C74</f>
        <v>0</v>
      </c>
      <c r="F74" s="1053">
        <f>-D74</f>
        <v>0</v>
      </c>
      <c r="G74" s="1053">
        <f>ROUND(SUM(C74:F74)/2,0)</f>
        <v>0</v>
      </c>
      <c r="H74" s="1053"/>
      <c r="I74" s="1053">
        <f t="shared" si="13"/>
        <v>0</v>
      </c>
      <c r="J74" s="1053">
        <f t="shared" si="14"/>
        <v>0</v>
      </c>
      <c r="K74" s="1053">
        <f t="shared" si="15"/>
        <v>0</v>
      </c>
      <c r="L74" s="1053"/>
      <c r="M74" s="851"/>
      <c r="N74" s="851"/>
      <c r="O74" s="851"/>
      <c r="P74" s="1053"/>
      <c r="Q74" s="851"/>
      <c r="R74" s="851"/>
      <c r="S74" s="851"/>
    </row>
    <row r="75" spans="1:19">
      <c r="A75"/>
    </row>
    <row r="76" spans="1:19">
      <c r="A76" s="1063"/>
      <c r="B76" s="1043"/>
      <c r="C76" s="1053"/>
      <c r="D76" s="1053"/>
      <c r="E76" s="1053"/>
      <c r="F76" s="1053"/>
      <c r="G76" s="1053"/>
      <c r="H76" s="1053"/>
      <c r="I76" s="1053"/>
      <c r="J76" s="1053"/>
      <c r="K76" s="1053"/>
      <c r="L76" s="1053"/>
      <c r="M76" s="1053"/>
      <c r="N76" s="1053"/>
      <c r="O76" s="1053"/>
      <c r="P76" s="1053"/>
      <c r="Q76" s="1053"/>
      <c r="R76" s="1053"/>
      <c r="S76" s="1053"/>
    </row>
    <row r="77" spans="1:19" ht="13.5" thickBot="1">
      <c r="A77" s="1063">
        <v>6</v>
      </c>
      <c r="B77" s="1044" t="s">
        <v>739</v>
      </c>
      <c r="C77" s="1055">
        <f>SUM(C28:C76)</f>
        <v>1258628370.6500003</v>
      </c>
      <c r="D77" s="1055">
        <f>SUM(D28:D76)</f>
        <v>1353642450.01</v>
      </c>
      <c r="E77" s="1055">
        <f>SUM(E28:E76)</f>
        <v>723749655.50999999</v>
      </c>
      <c r="F77" s="1055">
        <f>SUM(F28:F76)</f>
        <v>659797572.50999999</v>
      </c>
      <c r="G77" s="1055">
        <f>SUM(G28:G76)</f>
        <v>1997909025.49</v>
      </c>
      <c r="H77" s="1053"/>
      <c r="I77" s="1055">
        <f>SUM(I28:I76)</f>
        <v>756925705.45999992</v>
      </c>
      <c r="J77" s="1055">
        <f>SUM(J28:J76)</f>
        <v>548782331.49000001</v>
      </c>
      <c r="K77" s="1055">
        <f>SUM(K28:K76)</f>
        <v>692200987.87999988</v>
      </c>
      <c r="L77" s="1053"/>
      <c r="M77" s="1055">
        <f>SUM(M28:M76)</f>
        <v>771962527.04999971</v>
      </c>
      <c r="N77" s="1055">
        <f>SUM(N28:N76)</f>
        <v>532673985.5</v>
      </c>
      <c r="O77" s="1055">
        <f>SUM(O28:O76)</f>
        <v>677741514.09999979</v>
      </c>
      <c r="P77" s="1053"/>
      <c r="Q77" s="1055">
        <f>SUM(Q28:Q76)</f>
        <v>741888883.86999989</v>
      </c>
      <c r="R77" s="1055">
        <f>SUM(R28:R76)</f>
        <v>564890677.48000002</v>
      </c>
      <c r="S77" s="1055">
        <f>SUM(S28:S76)</f>
        <v>706660461.65999997</v>
      </c>
    </row>
    <row r="78" spans="1:19" ht="13.5" thickTop="1">
      <c r="A78" s="1063">
        <f>A77+1</f>
        <v>7</v>
      </c>
      <c r="B78" s="1123" t="s">
        <v>752</v>
      </c>
      <c r="C78" s="1056">
        <f>SUM(C34,C35,C64,C65)</f>
        <v>20469117.870000001</v>
      </c>
      <c r="D78" s="1056">
        <f>SUM(D34,D35,D64,D65)</f>
        <v>11571948.35</v>
      </c>
      <c r="E78" s="1056">
        <f>SUM(E34,E35,E61,E62)</f>
        <v>0</v>
      </c>
      <c r="F78" s="1056">
        <f>SUM(F34,F35,F61,F62)</f>
        <v>0</v>
      </c>
      <c r="G78" s="1056">
        <f>SUM(G34,G35,G64,G65)</f>
        <v>16020533</v>
      </c>
      <c r="H78" s="1053"/>
      <c r="I78" s="1056">
        <f>SUM(I34,I35,I64,I65)</f>
        <v>15836473.430000002</v>
      </c>
      <c r="J78" s="1056">
        <f>SUM(J34,J35,J64,J65)</f>
        <v>-475.255</v>
      </c>
      <c r="K78" s="1056">
        <f>SUM(K34,K35,K64,K65)</f>
        <v>184534.935</v>
      </c>
      <c r="L78" s="1056"/>
      <c r="M78" s="1056">
        <f>SUM(M34,M35,M64,M65)</f>
        <v>20234682.180000003</v>
      </c>
      <c r="N78" s="1056">
        <f>SUM(N34,N35,N64,N65)</f>
        <v>-570.91999999999996</v>
      </c>
      <c r="O78" s="1056">
        <f>SUM(O34,O35,O64,O65)</f>
        <v>235006.61</v>
      </c>
      <c r="P78" s="1053"/>
      <c r="Q78" s="1056">
        <f>SUM(Q34,Q35,Q64,Q65)</f>
        <v>11438264.68</v>
      </c>
      <c r="R78" s="1056">
        <f>SUM(R34,R35,R64,R65)</f>
        <v>-379.59</v>
      </c>
      <c r="S78" s="1056">
        <f>SUM(S34,S35,S64,S65)</f>
        <v>134063.26</v>
      </c>
    </row>
    <row r="79" spans="1:19">
      <c r="A79" s="1063"/>
      <c r="B79" s="1044"/>
      <c r="C79" s="1053"/>
      <c r="D79" s="1058"/>
      <c r="E79" s="1053"/>
      <c r="F79" s="1053"/>
      <c r="G79" s="1053"/>
      <c r="H79" s="1053"/>
      <c r="I79" s="1053"/>
      <c r="J79" s="1053"/>
      <c r="K79" s="1053"/>
      <c r="L79" s="1053"/>
      <c r="M79" s="1053"/>
      <c r="N79" s="1053"/>
      <c r="O79" s="1053"/>
      <c r="P79" s="1053"/>
      <c r="Q79" s="1053"/>
      <c r="R79" s="1053"/>
      <c r="S79" s="1053"/>
    </row>
    <row r="80" spans="1:19">
      <c r="A80" s="1063">
        <v>8</v>
      </c>
      <c r="B80" s="244" t="s">
        <v>740</v>
      </c>
      <c r="C80" s="1053" t="s">
        <v>115</v>
      </c>
      <c r="D80" s="1053"/>
      <c r="E80" s="1053"/>
      <c r="F80" s="1053"/>
      <c r="G80" s="1053"/>
      <c r="H80" s="1053"/>
      <c r="I80" s="1053"/>
      <c r="J80" s="1053"/>
      <c r="K80" s="1053"/>
      <c r="L80" s="1053"/>
      <c r="M80" s="1053"/>
      <c r="N80" s="1053"/>
      <c r="O80" s="1053"/>
      <c r="P80" s="1053"/>
      <c r="Q80" s="1053"/>
      <c r="R80" s="1053"/>
      <c r="S80" s="1053"/>
    </row>
    <row r="81" spans="1:19">
      <c r="A81" s="1063"/>
      <c r="B81" s="1043"/>
      <c r="C81" s="1053"/>
      <c r="D81" s="1053"/>
      <c r="E81" s="1053"/>
      <c r="F81" s="1053"/>
      <c r="G81" s="1053"/>
      <c r="H81" s="1053"/>
      <c r="I81" s="1053"/>
      <c r="J81" s="1053"/>
      <c r="K81" s="1053"/>
      <c r="L81" s="1053"/>
      <c r="M81" s="1053"/>
      <c r="N81" s="1053"/>
      <c r="O81" s="1053"/>
      <c r="P81" s="1053"/>
      <c r="Q81" s="1053"/>
      <c r="R81" s="1053"/>
      <c r="S81" s="1053"/>
    </row>
    <row r="82" spans="1:19">
      <c r="A82" s="1083">
        <v>9.01</v>
      </c>
      <c r="B82" s="851" t="s">
        <v>1140</v>
      </c>
      <c r="C82" s="1053">
        <f>SUM(M82:O82)</f>
        <v>31976.04</v>
      </c>
      <c r="D82" s="1053">
        <f t="shared" ref="D82:D145" si="16">SUM(Q82:S82)</f>
        <v>0</v>
      </c>
      <c r="E82" s="1053"/>
      <c r="F82" s="1053"/>
      <c r="G82" s="1053">
        <f t="shared" ref="G82:G136" si="17">ROUND(SUM(C82:F82)/2,0)</f>
        <v>15988</v>
      </c>
      <c r="H82" s="1053"/>
      <c r="I82" s="1053">
        <f>(M82+Q82)/2</f>
        <v>15988.02</v>
      </c>
      <c r="J82" s="1053">
        <f>(N82+R82)/2</f>
        <v>0</v>
      </c>
      <c r="K82" s="1053">
        <f>(O82+S82)/2</f>
        <v>0</v>
      </c>
      <c r="L82" s="1053"/>
      <c r="M82" s="851">
        <v>31976.04</v>
      </c>
      <c r="N82" s="851">
        <v>0</v>
      </c>
      <c r="O82" s="851">
        <v>0</v>
      </c>
      <c r="P82" s="1053"/>
      <c r="Q82" s="851">
        <v>0</v>
      </c>
      <c r="R82" s="851">
        <v>0</v>
      </c>
      <c r="S82" s="851">
        <v>0</v>
      </c>
    </row>
    <row r="83" spans="1:19">
      <c r="A83" s="1083">
        <f>A82+0.01</f>
        <v>9.02</v>
      </c>
      <c r="B83" s="851" t="s">
        <v>1141</v>
      </c>
      <c r="C83" s="1053">
        <f t="shared" ref="C83:C146" si="18">SUM(M83:O83)</f>
        <v>24452437.059999999</v>
      </c>
      <c r="D83" s="1053">
        <f t="shared" si="16"/>
        <v>4282873.51</v>
      </c>
      <c r="E83" s="1053"/>
      <c r="F83" s="1053"/>
      <c r="G83" s="1053">
        <f>ROUND(SUM(C83:F83)/2,0)</f>
        <v>14367655</v>
      </c>
      <c r="H83" s="1053"/>
      <c r="I83" s="1053">
        <f t="shared" ref="I83:K142" si="19">(M83+Q83)/2</f>
        <v>14367655.285</v>
      </c>
      <c r="J83" s="1053">
        <f t="shared" si="19"/>
        <v>0</v>
      </c>
      <c r="K83" s="1053">
        <f t="shared" si="19"/>
        <v>0</v>
      </c>
      <c r="L83" s="1053"/>
      <c r="M83" s="851">
        <v>24452437.059999999</v>
      </c>
      <c r="N83" s="851">
        <v>0</v>
      </c>
      <c r="O83" s="851">
        <v>0</v>
      </c>
      <c r="P83" s="1053"/>
      <c r="Q83" s="851">
        <v>4282873.51</v>
      </c>
      <c r="R83" s="851">
        <v>0</v>
      </c>
      <c r="S83" s="851">
        <v>0</v>
      </c>
    </row>
    <row r="84" spans="1:19">
      <c r="A84" s="1083">
        <f t="shared" ref="A84:A147" si="20">A83+0.01</f>
        <v>9.0299999999999994</v>
      </c>
      <c r="B84" s="851" t="s">
        <v>1142</v>
      </c>
      <c r="C84" s="1053">
        <f t="shared" si="18"/>
        <v>7499736.5199999996</v>
      </c>
      <c r="D84" s="1053">
        <f t="shared" si="16"/>
        <v>17291197.739999998</v>
      </c>
      <c r="E84" s="1053"/>
      <c r="F84" s="1053"/>
      <c r="G84" s="1053">
        <f t="shared" si="17"/>
        <v>12395467</v>
      </c>
      <c r="H84" s="1053"/>
      <c r="I84" s="1053">
        <f t="shared" si="19"/>
        <v>12395467.129999999</v>
      </c>
      <c r="J84" s="1053">
        <f t="shared" si="19"/>
        <v>0</v>
      </c>
      <c r="K84" s="1053">
        <f t="shared" si="19"/>
        <v>0</v>
      </c>
      <c r="L84" s="1053"/>
      <c r="M84" s="851">
        <v>7499736.5199999996</v>
      </c>
      <c r="N84" s="851">
        <v>0</v>
      </c>
      <c r="O84" s="851">
        <v>0</v>
      </c>
      <c r="P84" s="1053"/>
      <c r="Q84" s="851">
        <v>17291197.739999998</v>
      </c>
      <c r="R84" s="851">
        <v>0</v>
      </c>
      <c r="S84" s="851">
        <v>0</v>
      </c>
    </row>
    <row r="85" spans="1:19">
      <c r="A85" s="1083">
        <f t="shared" si="20"/>
        <v>9.0399999999999991</v>
      </c>
      <c r="B85" s="851" t="s">
        <v>1143</v>
      </c>
      <c r="C85" s="1053">
        <f t="shared" si="18"/>
        <v>0</v>
      </c>
      <c r="D85" s="1053">
        <f t="shared" si="16"/>
        <v>0</v>
      </c>
      <c r="E85" s="1053"/>
      <c r="F85" s="1053"/>
      <c r="G85" s="1053">
        <f t="shared" si="17"/>
        <v>0</v>
      </c>
      <c r="H85" s="1053"/>
      <c r="I85" s="1053">
        <f t="shared" si="19"/>
        <v>0</v>
      </c>
      <c r="J85" s="1053">
        <f t="shared" si="19"/>
        <v>0</v>
      </c>
      <c r="K85" s="1053">
        <f t="shared" si="19"/>
        <v>0</v>
      </c>
      <c r="L85" s="1053"/>
      <c r="M85" s="851">
        <v>0</v>
      </c>
      <c r="N85" s="851">
        <v>0</v>
      </c>
      <c r="O85" s="851">
        <v>0</v>
      </c>
      <c r="P85" s="1053"/>
      <c r="Q85" s="851">
        <v>0</v>
      </c>
      <c r="R85" s="851">
        <v>0</v>
      </c>
      <c r="S85" s="851">
        <v>0</v>
      </c>
    </row>
    <row r="86" spans="1:19">
      <c r="A86" s="1083">
        <f t="shared" si="20"/>
        <v>9.0499999999999989</v>
      </c>
      <c r="B86" s="851" t="s">
        <v>1144</v>
      </c>
      <c r="C86" s="1053">
        <f t="shared" si="18"/>
        <v>-81825.88</v>
      </c>
      <c r="D86" s="1053">
        <f t="shared" si="16"/>
        <v>0</v>
      </c>
      <c r="E86" s="1053"/>
      <c r="F86" s="1053"/>
      <c r="G86" s="1053">
        <f t="shared" si="17"/>
        <v>-40913</v>
      </c>
      <c r="H86" s="1053"/>
      <c r="I86" s="1053">
        <f t="shared" si="19"/>
        <v>-40912.94</v>
      </c>
      <c r="J86" s="1053">
        <f t="shared" si="19"/>
        <v>0</v>
      </c>
      <c r="K86" s="1053">
        <f t="shared" si="19"/>
        <v>0</v>
      </c>
      <c r="L86" s="1053"/>
      <c r="M86" s="851">
        <v>-81825.88</v>
      </c>
      <c r="N86" s="851">
        <v>0</v>
      </c>
      <c r="O86" s="851">
        <v>0</v>
      </c>
      <c r="P86" s="1053"/>
      <c r="Q86" s="851">
        <v>0</v>
      </c>
      <c r="R86" s="851">
        <v>0</v>
      </c>
      <c r="S86" s="851">
        <v>0</v>
      </c>
    </row>
    <row r="87" spans="1:19">
      <c r="A87" s="1083">
        <f t="shared" si="20"/>
        <v>9.0599999999999987</v>
      </c>
      <c r="B87" s="851" t="s">
        <v>1145</v>
      </c>
      <c r="C87" s="1053">
        <f t="shared" si="18"/>
        <v>0</v>
      </c>
      <c r="D87" s="1053">
        <f t="shared" si="16"/>
        <v>0</v>
      </c>
      <c r="E87" s="1053"/>
      <c r="F87" s="1053"/>
      <c r="G87" s="1053">
        <f t="shared" si="17"/>
        <v>0</v>
      </c>
      <c r="H87" s="1053"/>
      <c r="I87" s="1053">
        <f t="shared" si="19"/>
        <v>0</v>
      </c>
      <c r="J87" s="1053">
        <f t="shared" si="19"/>
        <v>0</v>
      </c>
      <c r="K87" s="1053">
        <f t="shared" si="19"/>
        <v>0</v>
      </c>
      <c r="L87" s="1053"/>
      <c r="M87" s="851">
        <v>0</v>
      </c>
      <c r="N87" s="851">
        <v>0</v>
      </c>
      <c r="O87" s="851">
        <v>0</v>
      </c>
      <c r="P87" s="1053"/>
      <c r="Q87" s="851">
        <v>0</v>
      </c>
      <c r="R87" s="851">
        <v>0</v>
      </c>
      <c r="S87" s="851">
        <v>0</v>
      </c>
    </row>
    <row r="88" spans="1:19">
      <c r="A88" s="1083">
        <f t="shared" si="20"/>
        <v>9.0699999999999985</v>
      </c>
      <c r="B88" s="851" t="s">
        <v>1146</v>
      </c>
      <c r="C88" s="1053">
        <f t="shared" si="18"/>
        <v>0</v>
      </c>
      <c r="D88" s="1053">
        <f t="shared" si="16"/>
        <v>0</v>
      </c>
      <c r="E88" s="1053"/>
      <c r="F88" s="1053"/>
      <c r="G88" s="1053">
        <f>ROUND(SUM(C88:F88)/2,0)</f>
        <v>0</v>
      </c>
      <c r="H88" s="1053"/>
      <c r="I88" s="1053">
        <f t="shared" si="19"/>
        <v>0</v>
      </c>
      <c r="J88" s="1053">
        <f t="shared" si="19"/>
        <v>0</v>
      </c>
      <c r="K88" s="1053">
        <f t="shared" si="19"/>
        <v>0</v>
      </c>
      <c r="L88" s="1053"/>
      <c r="M88" s="851">
        <v>0</v>
      </c>
      <c r="N88" s="851">
        <v>0</v>
      </c>
      <c r="O88" s="851">
        <v>0</v>
      </c>
      <c r="P88" s="1053"/>
      <c r="Q88" s="851">
        <v>0</v>
      </c>
      <c r="R88" s="851">
        <v>0</v>
      </c>
      <c r="S88" s="851">
        <v>0</v>
      </c>
    </row>
    <row r="89" spans="1:19">
      <c r="A89" s="1083">
        <f t="shared" si="20"/>
        <v>9.0799999999999983</v>
      </c>
      <c r="B89" s="851" t="s">
        <v>1147</v>
      </c>
      <c r="C89" s="1053">
        <f t="shared" si="18"/>
        <v>0</v>
      </c>
      <c r="D89" s="1053">
        <f t="shared" si="16"/>
        <v>-0.01</v>
      </c>
      <c r="E89" s="1053"/>
      <c r="F89" s="1053"/>
      <c r="G89" s="1053">
        <f>ROUND(SUM(C89:F89)/2,0)</f>
        <v>0</v>
      </c>
      <c r="H89" s="1053"/>
      <c r="I89" s="1053">
        <f t="shared" si="19"/>
        <v>-5.0000000000000001E-3</v>
      </c>
      <c r="J89" s="1053">
        <f t="shared" si="19"/>
        <v>0</v>
      </c>
      <c r="K89" s="1053">
        <f t="shared" si="19"/>
        <v>0</v>
      </c>
      <c r="L89" s="1053"/>
      <c r="M89" s="851">
        <v>0</v>
      </c>
      <c r="N89" s="851">
        <v>0</v>
      </c>
      <c r="O89" s="851">
        <v>0</v>
      </c>
      <c r="P89" s="1053"/>
      <c r="Q89" s="851">
        <v>-0.01</v>
      </c>
      <c r="R89" s="851">
        <v>0</v>
      </c>
      <c r="S89" s="851">
        <v>0</v>
      </c>
    </row>
    <row r="90" spans="1:19">
      <c r="A90" s="1083">
        <f t="shared" si="20"/>
        <v>9.0899999999999981</v>
      </c>
      <c r="B90" s="851" t="s">
        <v>1148</v>
      </c>
      <c r="C90" s="1053">
        <f t="shared" si="18"/>
        <v>23733.18</v>
      </c>
      <c r="D90" s="1053">
        <f t="shared" si="16"/>
        <v>136711.26</v>
      </c>
      <c r="E90" s="1053"/>
      <c r="F90" s="1053"/>
      <c r="G90" s="1053">
        <f t="shared" si="17"/>
        <v>80222</v>
      </c>
      <c r="H90" s="1053"/>
      <c r="I90" s="1053">
        <f t="shared" si="19"/>
        <v>80222.22</v>
      </c>
      <c r="J90" s="1053">
        <f t="shared" si="19"/>
        <v>0</v>
      </c>
      <c r="K90" s="1053">
        <f t="shared" si="19"/>
        <v>0</v>
      </c>
      <c r="L90" s="1053"/>
      <c r="M90" s="851">
        <v>23733.18</v>
      </c>
      <c r="N90" s="851">
        <v>0</v>
      </c>
      <c r="O90" s="851">
        <v>0</v>
      </c>
      <c r="P90" s="1053"/>
      <c r="Q90" s="851">
        <v>136711.26</v>
      </c>
      <c r="R90" s="851">
        <v>0</v>
      </c>
      <c r="S90" s="851">
        <v>0</v>
      </c>
    </row>
    <row r="91" spans="1:19">
      <c r="A91" s="1083">
        <f t="shared" si="20"/>
        <v>9.0999999999999979</v>
      </c>
      <c r="B91" s="851" t="s">
        <v>1149</v>
      </c>
      <c r="C91" s="1053">
        <f t="shared" si="18"/>
        <v>5002827.46</v>
      </c>
      <c r="D91" s="1053">
        <f t="shared" si="16"/>
        <v>3032829.65</v>
      </c>
      <c r="E91" s="1053"/>
      <c r="F91" s="1053"/>
      <c r="G91" s="1053">
        <f>ROUND(SUM(C91:F91)/2,0)</f>
        <v>4017829</v>
      </c>
      <c r="H91" s="1053"/>
      <c r="I91" s="1053">
        <f t="shared" si="19"/>
        <v>1179339.135</v>
      </c>
      <c r="J91" s="1053">
        <f t="shared" si="19"/>
        <v>1066189.0549999999</v>
      </c>
      <c r="K91" s="1053">
        <f t="shared" si="19"/>
        <v>1772300.3649999998</v>
      </c>
      <c r="L91" s="1053"/>
      <c r="M91" s="851">
        <v>1293751.26</v>
      </c>
      <c r="N91" s="851">
        <v>1411456.4</v>
      </c>
      <c r="O91" s="851">
        <v>2297619.7999999998</v>
      </c>
      <c r="P91" s="1053"/>
      <c r="Q91" s="851">
        <v>1064927.01</v>
      </c>
      <c r="R91" s="851">
        <v>720921.71</v>
      </c>
      <c r="S91" s="851">
        <v>1246980.93</v>
      </c>
    </row>
    <row r="92" spans="1:19">
      <c r="A92" s="1083">
        <f t="shared" si="20"/>
        <v>9.1099999999999977</v>
      </c>
      <c r="B92" s="851" t="s">
        <v>1150</v>
      </c>
      <c r="C92" s="1053">
        <f t="shared" si="18"/>
        <v>0.05</v>
      </c>
      <c r="D92" s="1053">
        <f t="shared" si="16"/>
        <v>0.03</v>
      </c>
      <c r="E92" s="1053"/>
      <c r="F92" s="1053"/>
      <c r="G92" s="1053">
        <f>ROUND(SUM(C92:F92)/2,0)</f>
        <v>0</v>
      </c>
      <c r="H92" s="1053"/>
      <c r="I92" s="1053">
        <f t="shared" si="19"/>
        <v>0.04</v>
      </c>
      <c r="J92" s="1053">
        <f t="shared" si="19"/>
        <v>0</v>
      </c>
      <c r="K92" s="1053">
        <f t="shared" si="19"/>
        <v>0</v>
      </c>
      <c r="L92" s="1053"/>
      <c r="M92" s="851">
        <v>0.05</v>
      </c>
      <c r="N92" s="851">
        <v>0</v>
      </c>
      <c r="O92" s="851">
        <v>0</v>
      </c>
      <c r="P92" s="1053"/>
      <c r="Q92" s="851">
        <v>0.03</v>
      </c>
      <c r="R92" s="851">
        <v>0</v>
      </c>
      <c r="S92" s="851">
        <v>0</v>
      </c>
    </row>
    <row r="93" spans="1:19">
      <c r="A93" s="1083">
        <f t="shared" si="20"/>
        <v>9.1199999999999974</v>
      </c>
      <c r="B93" s="851" t="s">
        <v>1151</v>
      </c>
      <c r="C93" s="1053">
        <f t="shared" si="18"/>
        <v>99984753.810000002</v>
      </c>
      <c r="D93" s="1053">
        <f t="shared" si="16"/>
        <v>54981751.759999998</v>
      </c>
      <c r="E93" s="1053"/>
      <c r="F93" s="1053"/>
      <c r="G93" s="1053">
        <f t="shared" si="17"/>
        <v>77483253</v>
      </c>
      <c r="H93" s="1053"/>
      <c r="I93" s="1053">
        <f t="shared" si="19"/>
        <v>77483252.784999996</v>
      </c>
      <c r="J93" s="1053">
        <f t="shared" si="19"/>
        <v>0</v>
      </c>
      <c r="K93" s="1053">
        <f t="shared" si="19"/>
        <v>0</v>
      </c>
      <c r="L93" s="1053"/>
      <c r="M93" s="851">
        <v>99984753.810000002</v>
      </c>
      <c r="N93" s="851">
        <v>0</v>
      </c>
      <c r="O93" s="851">
        <v>0</v>
      </c>
      <c r="P93" s="1053"/>
      <c r="Q93" s="851">
        <v>54981751.759999998</v>
      </c>
      <c r="R93" s="851">
        <v>0</v>
      </c>
      <c r="S93" s="851">
        <v>0</v>
      </c>
    </row>
    <row r="94" spans="1:19">
      <c r="A94" s="1083">
        <f t="shared" si="20"/>
        <v>9.1299999999999972</v>
      </c>
      <c r="B94" s="851" t="s">
        <v>1152</v>
      </c>
      <c r="C94" s="1053">
        <f t="shared" si="18"/>
        <v>4738150.8999999994</v>
      </c>
      <c r="D94" s="1053">
        <f t="shared" si="16"/>
        <v>10360318.92</v>
      </c>
      <c r="E94" s="1053"/>
      <c r="F94" s="1053"/>
      <c r="G94" s="1053">
        <f t="shared" si="17"/>
        <v>7549235</v>
      </c>
      <c r="H94" s="1053"/>
      <c r="I94" s="1053">
        <f t="shared" si="19"/>
        <v>7549234.9100000001</v>
      </c>
      <c r="J94" s="1053">
        <f t="shared" si="19"/>
        <v>0</v>
      </c>
      <c r="K94" s="1053">
        <f t="shared" si="19"/>
        <v>0</v>
      </c>
      <c r="L94" s="1053"/>
      <c r="M94" s="851">
        <v>4738150.8999999994</v>
      </c>
      <c r="N94" s="851">
        <v>0</v>
      </c>
      <c r="O94" s="851">
        <v>0</v>
      </c>
      <c r="P94" s="1053"/>
      <c r="Q94" s="851">
        <v>10360318.92</v>
      </c>
      <c r="R94" s="851">
        <v>0</v>
      </c>
      <c r="S94" s="851">
        <v>0</v>
      </c>
    </row>
    <row r="95" spans="1:19">
      <c r="A95" s="1083">
        <f t="shared" si="20"/>
        <v>9.139999999999997</v>
      </c>
      <c r="B95" s="851" t="s">
        <v>1153</v>
      </c>
      <c r="C95" s="1053">
        <f t="shared" si="18"/>
        <v>-679996.1</v>
      </c>
      <c r="D95" s="1053">
        <f t="shared" si="16"/>
        <v>717648.75</v>
      </c>
      <c r="E95" s="1053"/>
      <c r="F95" s="1053"/>
      <c r="G95" s="1053">
        <f t="shared" si="17"/>
        <v>18826</v>
      </c>
      <c r="H95" s="1053"/>
      <c r="I95" s="1053">
        <f t="shared" si="19"/>
        <v>18826.325000000012</v>
      </c>
      <c r="J95" s="1053">
        <f t="shared" si="19"/>
        <v>0</v>
      </c>
      <c r="K95" s="1053">
        <f t="shared" si="19"/>
        <v>0</v>
      </c>
      <c r="L95" s="1053"/>
      <c r="M95" s="851">
        <v>-679996.1</v>
      </c>
      <c r="N95" s="851">
        <v>0</v>
      </c>
      <c r="O95" s="851">
        <v>0</v>
      </c>
      <c r="P95" s="1053"/>
      <c r="Q95" s="851">
        <v>717648.75</v>
      </c>
      <c r="R95" s="851">
        <v>0</v>
      </c>
      <c r="S95" s="851">
        <v>0</v>
      </c>
    </row>
    <row r="96" spans="1:19">
      <c r="A96" s="1083">
        <f t="shared" si="20"/>
        <v>9.1499999999999968</v>
      </c>
      <c r="B96" s="851" t="s">
        <v>1154</v>
      </c>
      <c r="C96" s="1053">
        <f t="shared" si="18"/>
        <v>49638662.519999996</v>
      </c>
      <c r="D96" s="1053">
        <f t="shared" si="16"/>
        <v>28468414.859999999</v>
      </c>
      <c r="E96" s="1053"/>
      <c r="F96" s="1053"/>
      <c r="G96" s="1053">
        <f t="shared" si="17"/>
        <v>39053539</v>
      </c>
      <c r="H96" s="1053"/>
      <c r="I96" s="1053">
        <f t="shared" si="19"/>
        <v>16942534.614999998</v>
      </c>
      <c r="J96" s="1053">
        <f t="shared" si="19"/>
        <v>1427263.9350000001</v>
      </c>
      <c r="K96" s="1053">
        <f t="shared" si="19"/>
        <v>20683740.140000001</v>
      </c>
      <c r="L96" s="1053"/>
      <c r="M96" s="851">
        <v>21455471.039999999</v>
      </c>
      <c r="N96" s="851">
        <v>1826835.6</v>
      </c>
      <c r="O96" s="851">
        <v>26356355.879999999</v>
      </c>
      <c r="P96" s="1053"/>
      <c r="Q96" s="851">
        <v>12429598.189999999</v>
      </c>
      <c r="R96" s="851">
        <v>1027692.27</v>
      </c>
      <c r="S96" s="851">
        <v>15011124.4</v>
      </c>
    </row>
    <row r="97" spans="1:19">
      <c r="A97" s="1083">
        <f t="shared" si="20"/>
        <v>9.1599999999999966</v>
      </c>
      <c r="B97" s="851" t="s">
        <v>1155</v>
      </c>
      <c r="C97" s="1053">
        <f t="shared" si="18"/>
        <v>-62857902.450000003</v>
      </c>
      <c r="D97" s="1053">
        <f t="shared" si="16"/>
        <v>-35590024.469999999</v>
      </c>
      <c r="E97" s="1053"/>
      <c r="F97" s="1053"/>
      <c r="G97" s="1053">
        <f t="shared" si="17"/>
        <v>-49223963</v>
      </c>
      <c r="H97" s="1053"/>
      <c r="I97" s="1053">
        <f t="shared" si="19"/>
        <v>-16034363.030000001</v>
      </c>
      <c r="J97" s="1053">
        <f t="shared" si="19"/>
        <v>-4838110.9000000004</v>
      </c>
      <c r="K97" s="1053">
        <f t="shared" si="19"/>
        <v>-28351489.530000001</v>
      </c>
      <c r="L97" s="1053"/>
      <c r="M97" s="851">
        <v>-20661576.25</v>
      </c>
      <c r="N97" s="851">
        <v>-6305390</v>
      </c>
      <c r="O97" s="851">
        <v>-35890936.200000003</v>
      </c>
      <c r="P97" s="1053"/>
      <c r="Q97" s="851">
        <v>-11407149.810000001</v>
      </c>
      <c r="R97" s="851">
        <v>-3370831.8</v>
      </c>
      <c r="S97" s="851">
        <v>-20812042.859999999</v>
      </c>
    </row>
    <row r="98" spans="1:19">
      <c r="A98" s="1083">
        <f t="shared" si="20"/>
        <v>9.1699999999999964</v>
      </c>
      <c r="B98" s="851" t="s">
        <v>1156</v>
      </c>
      <c r="C98" s="1053">
        <f t="shared" si="18"/>
        <v>307553.99</v>
      </c>
      <c r="D98" s="1053">
        <f t="shared" si="16"/>
        <v>95802.31</v>
      </c>
      <c r="E98" s="1053"/>
      <c r="F98" s="1053"/>
      <c r="G98" s="1053">
        <f t="shared" si="17"/>
        <v>201678</v>
      </c>
      <c r="H98" s="1053"/>
      <c r="I98" s="1053">
        <f t="shared" si="19"/>
        <v>0</v>
      </c>
      <c r="J98" s="1053">
        <f t="shared" si="19"/>
        <v>201678.15</v>
      </c>
      <c r="K98" s="1053">
        <f t="shared" si="19"/>
        <v>0</v>
      </c>
      <c r="L98" s="1053"/>
      <c r="M98" s="851">
        <v>0</v>
      </c>
      <c r="N98" s="851">
        <v>307553.99</v>
      </c>
      <c r="O98" s="851">
        <v>0</v>
      </c>
      <c r="P98" s="1053"/>
      <c r="Q98" s="851">
        <v>0</v>
      </c>
      <c r="R98" s="851">
        <v>95802.31</v>
      </c>
      <c r="S98" s="851">
        <v>0</v>
      </c>
    </row>
    <row r="99" spans="1:19">
      <c r="A99" s="1083">
        <f t="shared" si="20"/>
        <v>9.1799999999999962</v>
      </c>
      <c r="B99" s="851" t="s">
        <v>1157</v>
      </c>
      <c r="C99" s="1053">
        <f t="shared" si="18"/>
        <v>33567.800000000003</v>
      </c>
      <c r="D99" s="1053">
        <f t="shared" si="16"/>
        <v>20140.68</v>
      </c>
      <c r="E99" s="1053"/>
      <c r="F99" s="1053"/>
      <c r="G99" s="1053">
        <f t="shared" si="17"/>
        <v>26854</v>
      </c>
      <c r="H99" s="1053"/>
      <c r="I99" s="1053">
        <f t="shared" si="19"/>
        <v>26854.240000000002</v>
      </c>
      <c r="J99" s="1053">
        <f t="shared" si="19"/>
        <v>0</v>
      </c>
      <c r="K99" s="1053">
        <f t="shared" si="19"/>
        <v>0</v>
      </c>
      <c r="L99" s="1053"/>
      <c r="M99" s="851">
        <v>33567.800000000003</v>
      </c>
      <c r="N99" s="851">
        <v>0</v>
      </c>
      <c r="O99" s="851">
        <v>0</v>
      </c>
      <c r="P99" s="1053"/>
      <c r="Q99" s="851">
        <v>20140.68</v>
      </c>
      <c r="R99" s="851">
        <v>0</v>
      </c>
      <c r="S99" s="851">
        <v>0</v>
      </c>
    </row>
    <row r="100" spans="1:19">
      <c r="A100" s="1083">
        <f t="shared" si="20"/>
        <v>9.1899999999999959</v>
      </c>
      <c r="B100" s="851" t="s">
        <v>1158</v>
      </c>
      <c r="C100" s="1053">
        <f t="shared" si="18"/>
        <v>45312.05</v>
      </c>
      <c r="D100" s="1053">
        <f t="shared" si="16"/>
        <v>27187.23</v>
      </c>
      <c r="E100" s="1053"/>
      <c r="F100" s="1053"/>
      <c r="G100" s="1053">
        <f t="shared" si="17"/>
        <v>36250</v>
      </c>
      <c r="H100" s="1053"/>
      <c r="I100" s="1053">
        <f t="shared" si="19"/>
        <v>0</v>
      </c>
      <c r="J100" s="1053">
        <f t="shared" si="19"/>
        <v>15073.52</v>
      </c>
      <c r="K100" s="1053">
        <f t="shared" si="19"/>
        <v>21176.120000000003</v>
      </c>
      <c r="L100" s="1053"/>
      <c r="M100" s="851">
        <v>0</v>
      </c>
      <c r="N100" s="851">
        <v>18841.900000000001</v>
      </c>
      <c r="O100" s="851">
        <v>26470.15</v>
      </c>
      <c r="P100" s="1053"/>
      <c r="Q100" s="851">
        <v>0</v>
      </c>
      <c r="R100" s="851">
        <v>11305.14</v>
      </c>
      <c r="S100" s="851">
        <v>15882.09</v>
      </c>
    </row>
    <row r="101" spans="1:19">
      <c r="A101" s="1083">
        <f t="shared" si="20"/>
        <v>9.1999999999999957</v>
      </c>
      <c r="B101" s="851" t="s">
        <v>1159</v>
      </c>
      <c r="C101" s="1053">
        <f t="shared" si="18"/>
        <v>-15741.95</v>
      </c>
      <c r="D101" s="1053">
        <f t="shared" si="16"/>
        <v>-9445.17</v>
      </c>
      <c r="E101" s="1053"/>
      <c r="F101" s="1053"/>
      <c r="G101" s="1053">
        <f t="shared" si="17"/>
        <v>-12594</v>
      </c>
      <c r="H101" s="1053"/>
      <c r="I101" s="1053">
        <f t="shared" si="19"/>
        <v>0</v>
      </c>
      <c r="J101" s="1053">
        <f t="shared" si="19"/>
        <v>-8940.119999999999</v>
      </c>
      <c r="K101" s="1053">
        <f t="shared" si="19"/>
        <v>-3653.44</v>
      </c>
      <c r="L101" s="1053"/>
      <c r="M101" s="851">
        <v>0</v>
      </c>
      <c r="N101" s="851">
        <v>-11175.15</v>
      </c>
      <c r="O101" s="851">
        <v>-4566.8</v>
      </c>
      <c r="P101" s="1053"/>
      <c r="Q101" s="851">
        <v>0</v>
      </c>
      <c r="R101" s="851">
        <v>-6705.09</v>
      </c>
      <c r="S101" s="851">
        <v>-2740.08</v>
      </c>
    </row>
    <row r="102" spans="1:19">
      <c r="A102" s="1083">
        <f t="shared" si="20"/>
        <v>9.2099999999999955</v>
      </c>
      <c r="B102" s="851" t="s">
        <v>1160</v>
      </c>
      <c r="C102" s="1053">
        <f t="shared" si="18"/>
        <v>345185.32</v>
      </c>
      <c r="D102" s="1053">
        <f t="shared" si="16"/>
        <v>225321.75</v>
      </c>
      <c r="E102" s="1053"/>
      <c r="F102" s="1053"/>
      <c r="G102" s="1053">
        <f t="shared" si="17"/>
        <v>285254</v>
      </c>
      <c r="H102" s="1053"/>
      <c r="I102" s="1053">
        <f t="shared" si="19"/>
        <v>285253.53500000003</v>
      </c>
      <c r="J102" s="1053">
        <f t="shared" si="19"/>
        <v>0</v>
      </c>
      <c r="K102" s="1053">
        <f t="shared" si="19"/>
        <v>0</v>
      </c>
      <c r="L102" s="1053"/>
      <c r="M102" s="851">
        <v>345185.32</v>
      </c>
      <c r="N102" s="851">
        <v>0</v>
      </c>
      <c r="O102" s="851">
        <v>0</v>
      </c>
      <c r="P102" s="1053"/>
      <c r="Q102" s="851">
        <v>225321.75</v>
      </c>
      <c r="R102" s="851">
        <v>0</v>
      </c>
      <c r="S102" s="851">
        <v>0</v>
      </c>
    </row>
    <row r="103" spans="1:19">
      <c r="A103" s="1083">
        <f t="shared" si="20"/>
        <v>9.2199999999999953</v>
      </c>
      <c r="B103" s="851" t="s">
        <v>1161</v>
      </c>
      <c r="C103" s="1053">
        <f t="shared" si="18"/>
        <v>11381874.9</v>
      </c>
      <c r="D103" s="1053">
        <f t="shared" si="16"/>
        <v>0</v>
      </c>
      <c r="E103" s="1053"/>
      <c r="F103" s="1053"/>
      <c r="G103" s="1053">
        <f t="shared" si="17"/>
        <v>5690937</v>
      </c>
      <c r="H103" s="1053"/>
      <c r="I103" s="1053">
        <f t="shared" si="19"/>
        <v>0</v>
      </c>
      <c r="J103" s="1053">
        <f t="shared" si="19"/>
        <v>0</v>
      </c>
      <c r="K103" s="1053">
        <f t="shared" si="19"/>
        <v>5690937.4500000002</v>
      </c>
      <c r="L103" s="1053"/>
      <c r="M103" s="851">
        <v>0</v>
      </c>
      <c r="N103" s="851">
        <v>0</v>
      </c>
      <c r="O103" s="851">
        <v>11381874.9</v>
      </c>
      <c r="P103" s="1053"/>
      <c r="Q103" s="851">
        <v>0</v>
      </c>
      <c r="R103" s="851">
        <v>0</v>
      </c>
      <c r="S103" s="851">
        <v>0</v>
      </c>
    </row>
    <row r="104" spans="1:19">
      <c r="A104" s="1083">
        <f t="shared" si="20"/>
        <v>9.2299999999999951</v>
      </c>
      <c r="B104" s="851" t="s">
        <v>1162</v>
      </c>
      <c r="C104" s="1053">
        <f t="shared" si="18"/>
        <v>0</v>
      </c>
      <c r="D104" s="1053">
        <f t="shared" si="16"/>
        <v>-0.01</v>
      </c>
      <c r="E104" s="1053"/>
      <c r="F104" s="1053"/>
      <c r="G104" s="1053">
        <f t="shared" si="17"/>
        <v>0</v>
      </c>
      <c r="H104" s="1053"/>
      <c r="I104" s="1053">
        <f t="shared" si="19"/>
        <v>0</v>
      </c>
      <c r="J104" s="1053">
        <f t="shared" si="19"/>
        <v>0</v>
      </c>
      <c r="K104" s="1053">
        <f t="shared" si="19"/>
        <v>-5.0000000000000001E-3</v>
      </c>
      <c r="L104" s="1053"/>
      <c r="M104" s="851">
        <v>0</v>
      </c>
      <c r="N104" s="851">
        <v>0</v>
      </c>
      <c r="O104" s="851">
        <v>0</v>
      </c>
      <c r="P104" s="1053"/>
      <c r="Q104" s="851">
        <v>0</v>
      </c>
      <c r="R104" s="851">
        <v>0</v>
      </c>
      <c r="S104" s="851">
        <v>-0.01</v>
      </c>
    </row>
    <row r="105" spans="1:19">
      <c r="A105" s="1083">
        <f t="shared" si="20"/>
        <v>9.2399999999999949</v>
      </c>
      <c r="B105" s="851" t="s">
        <v>1163</v>
      </c>
      <c r="C105" s="1053">
        <f t="shared" si="18"/>
        <v>1849754.57</v>
      </c>
      <c r="D105" s="1053">
        <f t="shared" si="16"/>
        <v>1049967.1299999999</v>
      </c>
      <c r="E105" s="1053"/>
      <c r="F105" s="1053"/>
      <c r="G105" s="1053">
        <f t="shared" si="17"/>
        <v>1449861</v>
      </c>
      <c r="H105" s="1053"/>
      <c r="I105" s="1053">
        <f t="shared" si="19"/>
        <v>0</v>
      </c>
      <c r="J105" s="1053">
        <f t="shared" si="19"/>
        <v>0</v>
      </c>
      <c r="K105" s="1053">
        <f t="shared" si="19"/>
        <v>1449860.85</v>
      </c>
      <c r="L105" s="1053"/>
      <c r="M105" s="851">
        <v>0</v>
      </c>
      <c r="N105" s="851">
        <v>0</v>
      </c>
      <c r="O105" s="851">
        <v>1849754.57</v>
      </c>
      <c r="P105" s="1053"/>
      <c r="Q105" s="851">
        <v>0</v>
      </c>
      <c r="R105" s="851">
        <v>0</v>
      </c>
      <c r="S105" s="851">
        <v>1049967.1299999999</v>
      </c>
    </row>
    <row r="106" spans="1:19">
      <c r="A106" s="1083">
        <f t="shared" si="20"/>
        <v>9.2499999999999947</v>
      </c>
      <c r="B106" s="851" t="s">
        <v>1164</v>
      </c>
      <c r="C106" s="1053">
        <f t="shared" si="18"/>
        <v>154926</v>
      </c>
      <c r="D106" s="1053">
        <f t="shared" si="16"/>
        <v>92955.6</v>
      </c>
      <c r="E106" s="1053"/>
      <c r="F106" s="1053"/>
      <c r="G106" s="1053">
        <f>ROUND(SUM(C106:F106)/2,0)</f>
        <v>123941</v>
      </c>
      <c r="H106" s="1053"/>
      <c r="I106" s="1053">
        <f t="shared" si="19"/>
        <v>123940.8</v>
      </c>
      <c r="J106" s="1053">
        <f t="shared" si="19"/>
        <v>0</v>
      </c>
      <c r="K106" s="1053">
        <f t="shared" si="19"/>
        <v>0</v>
      </c>
      <c r="L106" s="1053"/>
      <c r="M106" s="851">
        <v>154926</v>
      </c>
      <c r="N106" s="851">
        <v>0</v>
      </c>
      <c r="O106" s="851">
        <v>0</v>
      </c>
      <c r="P106" s="1053"/>
      <c r="Q106" s="851">
        <v>92955.6</v>
      </c>
      <c r="R106" s="851">
        <v>0</v>
      </c>
      <c r="S106" s="851">
        <v>0</v>
      </c>
    </row>
    <row r="107" spans="1:19">
      <c r="A107" s="1083">
        <f t="shared" si="20"/>
        <v>9.2599999999999945</v>
      </c>
      <c r="B107" s="851" t="s">
        <v>1165</v>
      </c>
      <c r="C107" s="1053">
        <f t="shared" si="18"/>
        <v>8793905.3499999996</v>
      </c>
      <c r="D107" s="1053">
        <f t="shared" si="16"/>
        <v>5233115.55</v>
      </c>
      <c r="E107" s="1053"/>
      <c r="F107" s="1053"/>
      <c r="G107" s="1053">
        <f t="shared" si="17"/>
        <v>7013510</v>
      </c>
      <c r="H107" s="1053"/>
      <c r="I107" s="1053">
        <f t="shared" si="19"/>
        <v>7013510.4499999993</v>
      </c>
      <c r="J107" s="1053">
        <f t="shared" si="19"/>
        <v>0</v>
      </c>
      <c r="K107" s="1053">
        <f t="shared" si="19"/>
        <v>0</v>
      </c>
      <c r="L107" s="1053"/>
      <c r="M107" s="851">
        <v>8793905.3499999996</v>
      </c>
      <c r="N107" s="851">
        <v>0</v>
      </c>
      <c r="O107" s="851">
        <v>0</v>
      </c>
      <c r="P107" s="1053"/>
      <c r="Q107" s="851">
        <v>5233115.55</v>
      </c>
      <c r="R107" s="851">
        <v>0</v>
      </c>
      <c r="S107" s="851">
        <v>0</v>
      </c>
    </row>
    <row r="108" spans="1:19">
      <c r="A108" s="1083">
        <f t="shared" si="20"/>
        <v>9.2699999999999942</v>
      </c>
      <c r="B108" s="851" t="s">
        <v>1166</v>
      </c>
      <c r="C108" s="1053">
        <f t="shared" si="18"/>
        <v>-375757.85</v>
      </c>
      <c r="D108" s="1053">
        <f t="shared" si="16"/>
        <v>-225454.71</v>
      </c>
      <c r="E108" s="1053"/>
      <c r="F108" s="1053"/>
      <c r="G108" s="1053">
        <f t="shared" si="17"/>
        <v>-300606</v>
      </c>
      <c r="H108" s="1053"/>
      <c r="I108" s="1053">
        <f t="shared" si="19"/>
        <v>-300606.27999999997</v>
      </c>
      <c r="J108" s="1053">
        <f t="shared" si="19"/>
        <v>0</v>
      </c>
      <c r="K108" s="1053">
        <f t="shared" si="19"/>
        <v>0</v>
      </c>
      <c r="L108" s="1053"/>
      <c r="M108" s="851">
        <v>-375757.85</v>
      </c>
      <c r="N108" s="851">
        <v>0</v>
      </c>
      <c r="O108" s="851">
        <v>0</v>
      </c>
      <c r="P108" s="1053"/>
      <c r="Q108" s="851">
        <v>-225454.71</v>
      </c>
      <c r="R108" s="851">
        <v>0</v>
      </c>
      <c r="S108" s="851">
        <v>0</v>
      </c>
    </row>
    <row r="109" spans="1:19">
      <c r="A109" s="1083">
        <f t="shared" si="20"/>
        <v>9.279999999999994</v>
      </c>
      <c r="B109" s="851" t="s">
        <v>1167</v>
      </c>
      <c r="C109" s="1053">
        <f t="shared" si="18"/>
        <v>-11907.75</v>
      </c>
      <c r="D109" s="1053">
        <f t="shared" si="16"/>
        <v>-7144.65</v>
      </c>
      <c r="E109" s="1053"/>
      <c r="F109" s="1053"/>
      <c r="G109" s="1053">
        <f>ROUND(SUM(C109:F109)/2,0)</f>
        <v>-9526</v>
      </c>
      <c r="H109" s="1053"/>
      <c r="I109" s="1053">
        <f t="shared" si="19"/>
        <v>-9526.2000000000007</v>
      </c>
      <c r="J109" s="1053">
        <f t="shared" si="19"/>
        <v>0</v>
      </c>
      <c r="K109" s="1053">
        <f t="shared" si="19"/>
        <v>0</v>
      </c>
      <c r="L109" s="1053"/>
      <c r="M109" s="851">
        <v>-11907.75</v>
      </c>
      <c r="N109" s="851">
        <v>0</v>
      </c>
      <c r="O109" s="851">
        <v>0</v>
      </c>
      <c r="P109" s="1053"/>
      <c r="Q109" s="851">
        <v>-7144.65</v>
      </c>
      <c r="R109" s="851">
        <v>0</v>
      </c>
      <c r="S109" s="851">
        <v>0</v>
      </c>
    </row>
    <row r="110" spans="1:19">
      <c r="A110" s="1083">
        <f t="shared" si="20"/>
        <v>9.2899999999999938</v>
      </c>
      <c r="B110" s="851" t="s">
        <v>1168</v>
      </c>
      <c r="C110" s="1053">
        <f t="shared" si="18"/>
        <v>0</v>
      </c>
      <c r="D110" s="1053">
        <f t="shared" si="16"/>
        <v>0</v>
      </c>
      <c r="E110" s="1053"/>
      <c r="F110" s="1053"/>
      <c r="G110" s="1053">
        <f t="shared" si="17"/>
        <v>0</v>
      </c>
      <c r="H110" s="1053"/>
      <c r="I110" s="1053">
        <f t="shared" si="19"/>
        <v>0</v>
      </c>
      <c r="J110" s="1053">
        <f t="shared" si="19"/>
        <v>0</v>
      </c>
      <c r="K110" s="1053">
        <f t="shared" si="19"/>
        <v>0</v>
      </c>
      <c r="L110" s="1053"/>
      <c r="M110" s="851">
        <v>0</v>
      </c>
      <c r="N110" s="851">
        <v>0</v>
      </c>
      <c r="O110" s="851">
        <v>0</v>
      </c>
      <c r="P110" s="1053"/>
      <c r="Q110" s="851">
        <v>0</v>
      </c>
      <c r="R110" s="851">
        <v>0</v>
      </c>
      <c r="S110" s="851">
        <v>0</v>
      </c>
    </row>
    <row r="111" spans="1:19">
      <c r="A111" s="1083">
        <f t="shared" si="20"/>
        <v>9.2999999999999936</v>
      </c>
      <c r="B111" s="851" t="s">
        <v>1169</v>
      </c>
      <c r="C111" s="1053">
        <f t="shared" si="18"/>
        <v>53639.76</v>
      </c>
      <c r="D111" s="1053">
        <f t="shared" si="16"/>
        <v>3065.11</v>
      </c>
      <c r="E111" s="1053"/>
      <c r="F111" s="1053"/>
      <c r="G111" s="1053">
        <f t="shared" si="17"/>
        <v>28352</v>
      </c>
      <c r="H111" s="1053"/>
      <c r="I111" s="1053">
        <f t="shared" si="19"/>
        <v>0</v>
      </c>
      <c r="J111" s="1053">
        <f t="shared" si="19"/>
        <v>0</v>
      </c>
      <c r="K111" s="1053">
        <f t="shared" si="19"/>
        <v>28352.435000000001</v>
      </c>
      <c r="L111" s="1053"/>
      <c r="M111" s="851">
        <v>0</v>
      </c>
      <c r="N111" s="851">
        <v>0</v>
      </c>
      <c r="O111" s="851">
        <v>53639.76</v>
      </c>
      <c r="P111" s="1053"/>
      <c r="Q111" s="851">
        <v>0</v>
      </c>
      <c r="R111" s="851">
        <v>0</v>
      </c>
      <c r="S111" s="851">
        <v>3065.11</v>
      </c>
    </row>
    <row r="112" spans="1:19">
      <c r="A112" s="1083">
        <f t="shared" si="20"/>
        <v>9.3099999999999934</v>
      </c>
      <c r="B112" s="851" t="s">
        <v>1170</v>
      </c>
      <c r="C112" s="1053">
        <f t="shared" si="18"/>
        <v>-0.97</v>
      </c>
      <c r="D112" s="1053">
        <f t="shared" si="16"/>
        <v>-0.63</v>
      </c>
      <c r="E112" s="1053"/>
      <c r="F112" s="1053"/>
      <c r="G112" s="1053">
        <f t="shared" si="17"/>
        <v>-1</v>
      </c>
      <c r="H112" s="1053"/>
      <c r="I112" s="1053">
        <f t="shared" si="19"/>
        <v>0</v>
      </c>
      <c r="J112" s="1053">
        <f t="shared" si="19"/>
        <v>0</v>
      </c>
      <c r="K112" s="1053">
        <f t="shared" si="19"/>
        <v>-0.8</v>
      </c>
      <c r="L112" s="1053"/>
      <c r="M112" s="851">
        <v>0</v>
      </c>
      <c r="N112" s="851">
        <v>0</v>
      </c>
      <c r="O112" s="851">
        <v>-0.97</v>
      </c>
      <c r="P112" s="1053"/>
      <c r="Q112" s="851">
        <v>0</v>
      </c>
      <c r="R112" s="851">
        <v>0</v>
      </c>
      <c r="S112" s="851">
        <v>-0.63</v>
      </c>
    </row>
    <row r="113" spans="1:19">
      <c r="A113" s="1083">
        <f t="shared" si="20"/>
        <v>9.3199999999999932</v>
      </c>
      <c r="B113" s="851" t="s">
        <v>1171</v>
      </c>
      <c r="C113" s="1057">
        <f t="shared" si="18"/>
        <v>0.2</v>
      </c>
      <c r="D113" s="1057">
        <f t="shared" si="16"/>
        <v>0.11</v>
      </c>
      <c r="E113" s="1057"/>
      <c r="F113" s="1057"/>
      <c r="G113" s="1057">
        <f t="shared" si="17"/>
        <v>0</v>
      </c>
      <c r="H113" s="1057"/>
      <c r="I113" s="1057">
        <f t="shared" si="19"/>
        <v>0.155</v>
      </c>
      <c r="J113" s="1057">
        <f t="shared" si="19"/>
        <v>0</v>
      </c>
      <c r="K113" s="1057">
        <f t="shared" si="19"/>
        <v>0</v>
      </c>
      <c r="L113" s="1057"/>
      <c r="M113" s="851">
        <v>0.2</v>
      </c>
      <c r="N113" s="851">
        <v>0</v>
      </c>
      <c r="O113" s="851">
        <v>0</v>
      </c>
      <c r="P113" s="1057"/>
      <c r="Q113" s="851">
        <v>0.11</v>
      </c>
      <c r="R113" s="851">
        <v>0</v>
      </c>
      <c r="S113" s="851">
        <v>0</v>
      </c>
    </row>
    <row r="114" spans="1:19">
      <c r="A114" s="1083">
        <f t="shared" si="20"/>
        <v>9.329999999999993</v>
      </c>
      <c r="B114" s="851" t="s">
        <v>1172</v>
      </c>
      <c r="C114" s="1053">
        <f t="shared" si="18"/>
        <v>62857902.450000003</v>
      </c>
      <c r="D114" s="1053">
        <f t="shared" si="16"/>
        <v>35590024.469999999</v>
      </c>
      <c r="E114" s="1053"/>
      <c r="F114" s="1053"/>
      <c r="G114" s="1053">
        <f t="shared" si="17"/>
        <v>49223963</v>
      </c>
      <c r="H114" s="1053"/>
      <c r="I114" s="1053">
        <f t="shared" si="19"/>
        <v>16034363.030000001</v>
      </c>
      <c r="J114" s="1053">
        <f t="shared" si="19"/>
        <v>4838110.9000000004</v>
      </c>
      <c r="K114" s="1053">
        <f t="shared" si="19"/>
        <v>28351489.530000001</v>
      </c>
      <c r="L114" s="1053"/>
      <c r="M114" s="851">
        <v>20661576.25</v>
      </c>
      <c r="N114" s="851">
        <v>6305390</v>
      </c>
      <c r="O114" s="851">
        <v>35890936.200000003</v>
      </c>
      <c r="P114" s="1053"/>
      <c r="Q114" s="851">
        <v>11407149.810000001</v>
      </c>
      <c r="R114" s="851">
        <v>3370831.8</v>
      </c>
      <c r="S114" s="851">
        <v>20812042.859999999</v>
      </c>
    </row>
    <row r="115" spans="1:19">
      <c r="A115" s="1083">
        <f t="shared" si="20"/>
        <v>9.3399999999999928</v>
      </c>
      <c r="B115" s="851" t="s">
        <v>1173</v>
      </c>
      <c r="C115" s="1053">
        <f t="shared" si="18"/>
        <v>112147</v>
      </c>
      <c r="D115" s="1053">
        <f t="shared" si="16"/>
        <v>27991.949999999997</v>
      </c>
      <c r="E115" s="1053"/>
      <c r="F115" s="1053"/>
      <c r="G115" s="1053">
        <f t="shared" si="17"/>
        <v>70069</v>
      </c>
      <c r="H115" s="1053"/>
      <c r="I115" s="1053">
        <f t="shared" si="19"/>
        <v>288.82000000000005</v>
      </c>
      <c r="J115" s="1053">
        <f t="shared" si="19"/>
        <v>0</v>
      </c>
      <c r="K115" s="1053">
        <f t="shared" si="19"/>
        <v>69780.654999999999</v>
      </c>
      <c r="L115" s="1053"/>
      <c r="M115" s="851">
        <v>-480.55</v>
      </c>
      <c r="N115" s="851">
        <v>0</v>
      </c>
      <c r="O115" s="851">
        <v>112627.55</v>
      </c>
      <c r="P115" s="1053"/>
      <c r="Q115" s="851">
        <v>1058.19</v>
      </c>
      <c r="R115" s="851">
        <v>0</v>
      </c>
      <c r="S115" s="851">
        <v>26933.759999999998</v>
      </c>
    </row>
    <row r="116" spans="1:19">
      <c r="A116" s="1083">
        <f t="shared" si="20"/>
        <v>9.3499999999999925</v>
      </c>
      <c r="B116" s="851" t="s">
        <v>1174</v>
      </c>
      <c r="C116" s="1053">
        <f t="shared" si="18"/>
        <v>-3900734.48</v>
      </c>
      <c r="D116" s="1053">
        <f t="shared" si="16"/>
        <v>539781.20000000007</v>
      </c>
      <c r="E116" s="1053"/>
      <c r="F116" s="1053"/>
      <c r="G116" s="1053">
        <f t="shared" si="17"/>
        <v>-1680477</v>
      </c>
      <c r="H116" s="1053"/>
      <c r="I116" s="1053">
        <f t="shared" si="19"/>
        <v>-938548.99</v>
      </c>
      <c r="J116" s="1053">
        <f t="shared" si="19"/>
        <v>143357.36499999999</v>
      </c>
      <c r="K116" s="1053">
        <f t="shared" si="19"/>
        <v>-885285.01500000001</v>
      </c>
      <c r="L116" s="1053"/>
      <c r="M116" s="851">
        <v>-1965488.51</v>
      </c>
      <c r="N116" s="851">
        <v>70610.22</v>
      </c>
      <c r="O116" s="851">
        <v>-2005856.19</v>
      </c>
      <c r="P116" s="1053"/>
      <c r="Q116" s="851">
        <v>88390.53</v>
      </c>
      <c r="R116" s="851">
        <v>216104.51</v>
      </c>
      <c r="S116" s="851">
        <v>235286.16</v>
      </c>
    </row>
    <row r="117" spans="1:19">
      <c r="A117" s="1083">
        <f t="shared" si="20"/>
        <v>9.3599999999999923</v>
      </c>
      <c r="B117" s="851" t="s">
        <v>1175</v>
      </c>
      <c r="C117" s="1053">
        <f t="shared" si="18"/>
        <v>11423321.220000001</v>
      </c>
      <c r="D117" s="1053">
        <f t="shared" si="16"/>
        <v>0.02</v>
      </c>
      <c r="E117" s="1053"/>
      <c r="F117" s="1053"/>
      <c r="G117" s="1053">
        <f t="shared" si="17"/>
        <v>5711661</v>
      </c>
      <c r="H117" s="1053"/>
      <c r="I117" s="1053">
        <f t="shared" si="19"/>
        <v>0</v>
      </c>
      <c r="J117" s="1053">
        <f t="shared" si="19"/>
        <v>5711660.6200000001</v>
      </c>
      <c r="K117" s="1053">
        <f t="shared" si="19"/>
        <v>0</v>
      </c>
      <c r="L117" s="1053"/>
      <c r="M117" s="851">
        <v>0</v>
      </c>
      <c r="N117" s="851">
        <v>11423321.220000001</v>
      </c>
      <c r="O117" s="851">
        <v>0</v>
      </c>
      <c r="P117" s="1053"/>
      <c r="Q117" s="851">
        <v>0</v>
      </c>
      <c r="R117" s="851">
        <v>0.02</v>
      </c>
      <c r="S117" s="851">
        <v>0</v>
      </c>
    </row>
    <row r="118" spans="1:19">
      <c r="A118" s="1083">
        <f t="shared" si="20"/>
        <v>9.3699999999999921</v>
      </c>
      <c r="B118" s="851" t="s">
        <v>1176</v>
      </c>
      <c r="C118" s="1053">
        <f t="shared" si="18"/>
        <v>-6974320.6200000001</v>
      </c>
      <c r="D118" s="1053">
        <f t="shared" si="16"/>
        <v>-5295971.95</v>
      </c>
      <c r="E118" s="1053"/>
      <c r="F118" s="1053"/>
      <c r="G118" s="1053">
        <f t="shared" si="17"/>
        <v>-6135146</v>
      </c>
      <c r="H118" s="1053"/>
      <c r="I118" s="1053">
        <f t="shared" si="19"/>
        <v>-6135146.2850000001</v>
      </c>
      <c r="J118" s="1053">
        <f t="shared" si="19"/>
        <v>0</v>
      </c>
      <c r="K118" s="1053">
        <f t="shared" si="19"/>
        <v>0</v>
      </c>
      <c r="L118" s="1053"/>
      <c r="M118" s="851">
        <v>-6974320.6200000001</v>
      </c>
      <c r="N118" s="851">
        <v>0</v>
      </c>
      <c r="O118" s="851">
        <v>0</v>
      </c>
      <c r="P118" s="1053"/>
      <c r="Q118" s="851">
        <v>-5295971.95</v>
      </c>
      <c r="R118" s="851">
        <v>0</v>
      </c>
      <c r="S118" s="851">
        <v>0</v>
      </c>
    </row>
    <row r="119" spans="1:19">
      <c r="A119" s="1083">
        <f t="shared" si="20"/>
        <v>9.3799999999999919</v>
      </c>
      <c r="B119" s="851" t="s">
        <v>1177</v>
      </c>
      <c r="C119" s="1053">
        <f t="shared" si="18"/>
        <v>595362.86</v>
      </c>
      <c r="D119" s="1053">
        <f t="shared" si="16"/>
        <v>-0.14000000000000001</v>
      </c>
      <c r="E119" s="1053"/>
      <c r="F119" s="1053"/>
      <c r="G119" s="1053">
        <f t="shared" si="17"/>
        <v>297681</v>
      </c>
      <c r="H119" s="1053"/>
      <c r="I119" s="1053">
        <f t="shared" si="19"/>
        <v>297681.36</v>
      </c>
      <c r="J119" s="1053">
        <f t="shared" si="19"/>
        <v>0</v>
      </c>
      <c r="K119" s="1053">
        <f t="shared" si="19"/>
        <v>0</v>
      </c>
      <c r="L119" s="1053"/>
      <c r="M119" s="851">
        <v>595362.86</v>
      </c>
      <c r="N119" s="851">
        <v>0</v>
      </c>
      <c r="O119" s="851">
        <v>0</v>
      </c>
      <c r="P119" s="1053"/>
      <c r="Q119" s="851">
        <v>-0.14000000000000001</v>
      </c>
      <c r="R119" s="851">
        <v>0</v>
      </c>
      <c r="S119" s="851">
        <v>0</v>
      </c>
    </row>
    <row r="120" spans="1:19">
      <c r="A120" s="1083">
        <f t="shared" si="20"/>
        <v>9.3899999999999917</v>
      </c>
      <c r="B120" s="851" t="s">
        <v>1178</v>
      </c>
      <c r="C120" s="1053">
        <f t="shared" si="18"/>
        <v>0</v>
      </c>
      <c r="D120" s="1053">
        <f t="shared" si="16"/>
        <v>-0.01</v>
      </c>
      <c r="E120" s="1053"/>
      <c r="F120" s="1053"/>
      <c r="G120" s="1053">
        <f t="shared" si="17"/>
        <v>0</v>
      </c>
      <c r="H120" s="1053"/>
      <c r="I120" s="1053">
        <f t="shared" si="19"/>
        <v>-5.0000000000000001E-3</v>
      </c>
      <c r="J120" s="1053">
        <f t="shared" si="19"/>
        <v>0</v>
      </c>
      <c r="K120" s="1053">
        <f t="shared" si="19"/>
        <v>0</v>
      </c>
      <c r="L120" s="1053"/>
      <c r="M120" s="851">
        <v>0</v>
      </c>
      <c r="N120" s="851">
        <v>0</v>
      </c>
      <c r="O120" s="851">
        <v>0</v>
      </c>
      <c r="P120" s="1053"/>
      <c r="Q120" s="851">
        <v>-0.01</v>
      </c>
      <c r="R120" s="851">
        <v>0</v>
      </c>
      <c r="S120" s="851">
        <v>0</v>
      </c>
    </row>
    <row r="121" spans="1:19">
      <c r="A121" s="1083">
        <f t="shared" si="20"/>
        <v>9.3999999999999915</v>
      </c>
      <c r="B121" s="851" t="s">
        <v>1179</v>
      </c>
      <c r="C121" s="1053">
        <f t="shared" si="18"/>
        <v>0</v>
      </c>
      <c r="D121" s="1053">
        <f t="shared" si="16"/>
        <v>0</v>
      </c>
      <c r="E121" s="1053"/>
      <c r="F121" s="1053"/>
      <c r="G121" s="1053">
        <f t="shared" si="17"/>
        <v>0</v>
      </c>
      <c r="H121" s="1053"/>
      <c r="I121" s="1053">
        <f t="shared" si="19"/>
        <v>0</v>
      </c>
      <c r="J121" s="1053">
        <f t="shared" si="19"/>
        <v>0</v>
      </c>
      <c r="K121" s="1053">
        <f t="shared" si="19"/>
        <v>0</v>
      </c>
      <c r="L121" s="1053"/>
      <c r="M121" s="851">
        <v>0</v>
      </c>
      <c r="N121" s="851">
        <v>0</v>
      </c>
      <c r="O121" s="851">
        <v>0</v>
      </c>
      <c r="P121" s="1053"/>
      <c r="Q121" s="851">
        <v>0</v>
      </c>
      <c r="R121" s="851">
        <v>0</v>
      </c>
      <c r="S121" s="851">
        <v>0</v>
      </c>
    </row>
    <row r="122" spans="1:19">
      <c r="A122" s="1083">
        <f t="shared" si="20"/>
        <v>9.4099999999999913</v>
      </c>
      <c r="B122" s="851" t="s">
        <v>1180</v>
      </c>
      <c r="C122" s="1053">
        <f t="shared" si="18"/>
        <v>-4687376.99</v>
      </c>
      <c r="D122" s="1053">
        <f t="shared" si="16"/>
        <v>-9.9999999999999985E-3</v>
      </c>
      <c r="E122" s="1053"/>
      <c r="F122" s="1053"/>
      <c r="G122" s="1053">
        <f t="shared" si="17"/>
        <v>-2343689</v>
      </c>
      <c r="H122" s="1053"/>
      <c r="I122" s="1053">
        <f t="shared" si="19"/>
        <v>-2382816.2749999999</v>
      </c>
      <c r="J122" s="1053">
        <f t="shared" si="19"/>
        <v>6144.6949999999997</v>
      </c>
      <c r="K122" s="1053">
        <f t="shared" si="19"/>
        <v>32983.08</v>
      </c>
      <c r="L122" s="1053"/>
      <c r="M122" s="851">
        <v>-4765632.53</v>
      </c>
      <c r="N122" s="851">
        <v>12289.4</v>
      </c>
      <c r="O122" s="851">
        <v>65966.14</v>
      </c>
      <c r="P122" s="1053"/>
      <c r="Q122" s="851">
        <v>-0.02</v>
      </c>
      <c r="R122" s="851">
        <v>-0.01</v>
      </c>
      <c r="S122" s="851">
        <v>0.02</v>
      </c>
    </row>
    <row r="123" spans="1:19">
      <c r="A123" s="1083">
        <f t="shared" si="20"/>
        <v>9.419999999999991</v>
      </c>
      <c r="B123" s="851" t="s">
        <v>1181</v>
      </c>
      <c r="C123" s="1053">
        <f t="shared" si="18"/>
        <v>0</v>
      </c>
      <c r="D123" s="1053">
        <f t="shared" si="16"/>
        <v>0</v>
      </c>
      <c r="E123" s="1053"/>
      <c r="F123" s="1053"/>
      <c r="G123" s="1053">
        <f t="shared" si="17"/>
        <v>0</v>
      </c>
      <c r="H123" s="1053"/>
      <c r="I123" s="1053">
        <f t="shared" si="19"/>
        <v>0</v>
      </c>
      <c r="J123" s="1053">
        <f t="shared" si="19"/>
        <v>0</v>
      </c>
      <c r="K123" s="1053">
        <f t="shared" si="19"/>
        <v>0</v>
      </c>
      <c r="L123" s="1053"/>
      <c r="M123" s="851">
        <v>0</v>
      </c>
      <c r="N123" s="851">
        <v>0</v>
      </c>
      <c r="O123" s="851">
        <v>0</v>
      </c>
      <c r="P123" s="1053"/>
      <c r="Q123" s="851">
        <v>0</v>
      </c>
      <c r="R123" s="851">
        <v>0</v>
      </c>
      <c r="S123" s="851">
        <v>0</v>
      </c>
    </row>
    <row r="124" spans="1:19">
      <c r="A124" s="1083">
        <f t="shared" si="20"/>
        <v>9.4299999999999908</v>
      </c>
      <c r="B124" s="851" t="s">
        <v>1182</v>
      </c>
      <c r="C124" s="1053">
        <f t="shared" si="18"/>
        <v>0</v>
      </c>
      <c r="D124" s="1053">
        <f t="shared" si="16"/>
        <v>0</v>
      </c>
      <c r="E124" s="1053"/>
      <c r="F124" s="1053"/>
      <c r="G124" s="1053">
        <f t="shared" si="17"/>
        <v>0</v>
      </c>
      <c r="H124" s="1053"/>
      <c r="I124" s="1053">
        <f t="shared" si="19"/>
        <v>0</v>
      </c>
      <c r="J124" s="1053">
        <f t="shared" si="19"/>
        <v>0</v>
      </c>
      <c r="K124" s="1053">
        <f t="shared" si="19"/>
        <v>0</v>
      </c>
      <c r="L124" s="1053"/>
      <c r="M124" s="851">
        <v>0</v>
      </c>
      <c r="N124" s="851">
        <v>0</v>
      </c>
      <c r="O124" s="851">
        <v>0</v>
      </c>
      <c r="P124" s="1053"/>
      <c r="Q124" s="851">
        <v>0</v>
      </c>
      <c r="R124" s="851">
        <v>0</v>
      </c>
      <c r="S124" s="851">
        <v>0</v>
      </c>
    </row>
    <row r="125" spans="1:19">
      <c r="A125" s="1083">
        <f t="shared" si="20"/>
        <v>9.4399999999999906</v>
      </c>
      <c r="B125" s="851" t="s">
        <v>1183</v>
      </c>
      <c r="C125" s="1053">
        <f t="shared" si="18"/>
        <v>284273.43</v>
      </c>
      <c r="D125" s="1053">
        <f t="shared" si="16"/>
        <v>131945.76999999999</v>
      </c>
      <c r="E125" s="1053"/>
      <c r="F125" s="1053"/>
      <c r="G125" s="1053">
        <f t="shared" si="17"/>
        <v>208110</v>
      </c>
      <c r="H125" s="1053"/>
      <c r="I125" s="1053">
        <f t="shared" si="19"/>
        <v>208109.59999999998</v>
      </c>
      <c r="J125" s="1053">
        <f t="shared" si="19"/>
        <v>0</v>
      </c>
      <c r="K125" s="1053">
        <f t="shared" si="19"/>
        <v>0</v>
      </c>
      <c r="L125" s="1053"/>
      <c r="M125" s="851">
        <v>284273.43</v>
      </c>
      <c r="N125" s="851">
        <v>0</v>
      </c>
      <c r="O125" s="851">
        <v>0</v>
      </c>
      <c r="P125" s="1053"/>
      <c r="Q125" s="851">
        <v>131945.76999999999</v>
      </c>
      <c r="R125" s="851">
        <v>0</v>
      </c>
      <c r="S125" s="851">
        <v>0</v>
      </c>
    </row>
    <row r="126" spans="1:19">
      <c r="A126" s="1083">
        <f t="shared" si="20"/>
        <v>9.4499999999999904</v>
      </c>
      <c r="B126" s="851" t="s">
        <v>1184</v>
      </c>
      <c r="C126" s="1053">
        <f t="shared" si="18"/>
        <v>4487797.5199999996</v>
      </c>
      <c r="D126" s="1053">
        <f t="shared" si="16"/>
        <v>1927936.62</v>
      </c>
      <c r="E126" s="1053"/>
      <c r="F126" s="1053"/>
      <c r="G126" s="1053">
        <f t="shared" si="17"/>
        <v>3207867</v>
      </c>
      <c r="H126" s="1053"/>
      <c r="I126" s="1053">
        <f t="shared" si="19"/>
        <v>0</v>
      </c>
      <c r="J126" s="1053">
        <f t="shared" si="19"/>
        <v>0</v>
      </c>
      <c r="K126" s="1053">
        <f t="shared" si="19"/>
        <v>3207867.07</v>
      </c>
      <c r="L126" s="1053"/>
      <c r="M126" s="851">
        <v>0</v>
      </c>
      <c r="N126" s="851">
        <v>0</v>
      </c>
      <c r="O126" s="851">
        <v>4487797.5199999996</v>
      </c>
      <c r="P126" s="1053"/>
      <c r="Q126" s="851">
        <v>0</v>
      </c>
      <c r="R126" s="851">
        <v>0</v>
      </c>
      <c r="S126" s="851">
        <v>1927936.62</v>
      </c>
    </row>
    <row r="127" spans="1:19">
      <c r="A127" s="1083">
        <f t="shared" si="20"/>
        <v>9.4599999999999902</v>
      </c>
      <c r="B127" s="851" t="s">
        <v>1185</v>
      </c>
      <c r="C127" s="1053">
        <f t="shared" si="18"/>
        <v>0</v>
      </c>
      <c r="D127" s="1053">
        <f t="shared" si="16"/>
        <v>0</v>
      </c>
      <c r="E127" s="1053"/>
      <c r="F127" s="1053"/>
      <c r="G127" s="1053">
        <f t="shared" si="17"/>
        <v>0</v>
      </c>
      <c r="H127" s="1053"/>
      <c r="I127" s="1053">
        <f t="shared" si="19"/>
        <v>0</v>
      </c>
      <c r="J127" s="1053">
        <f t="shared" si="19"/>
        <v>0</v>
      </c>
      <c r="K127" s="1053">
        <f t="shared" si="19"/>
        <v>0</v>
      </c>
      <c r="L127" s="1053"/>
      <c r="M127" s="851">
        <v>0</v>
      </c>
      <c r="N127" s="851">
        <v>0</v>
      </c>
      <c r="O127" s="851">
        <v>0</v>
      </c>
      <c r="P127" s="1053"/>
      <c r="Q127" s="851">
        <v>0</v>
      </c>
      <c r="R127" s="851">
        <v>0</v>
      </c>
      <c r="S127" s="851">
        <v>0</v>
      </c>
    </row>
    <row r="128" spans="1:19">
      <c r="A128" s="1083">
        <f t="shared" si="20"/>
        <v>9.46999999999999</v>
      </c>
      <c r="B128" s="851" t="s">
        <v>1186</v>
      </c>
      <c r="C128" s="1053">
        <f t="shared" si="18"/>
        <v>2548055.1800000002</v>
      </c>
      <c r="D128" s="1053">
        <f t="shared" si="16"/>
        <v>2165853.7400000002</v>
      </c>
      <c r="E128" s="1053"/>
      <c r="F128" s="1053"/>
      <c r="G128" s="1053">
        <f t="shared" si="17"/>
        <v>2356954</v>
      </c>
      <c r="H128" s="1053"/>
      <c r="I128" s="1053">
        <f t="shared" si="19"/>
        <v>2356954.46</v>
      </c>
      <c r="J128" s="1053">
        <f t="shared" si="19"/>
        <v>0</v>
      </c>
      <c r="K128" s="1053">
        <f t="shared" si="19"/>
        <v>0</v>
      </c>
      <c r="L128" s="1053"/>
      <c r="M128" s="851">
        <v>2548055.1800000002</v>
      </c>
      <c r="N128" s="851">
        <v>0</v>
      </c>
      <c r="O128" s="851">
        <v>0</v>
      </c>
      <c r="P128" s="1053"/>
      <c r="Q128" s="851">
        <v>2165853.7400000002</v>
      </c>
      <c r="R128" s="851">
        <v>0</v>
      </c>
      <c r="S128" s="851">
        <v>0</v>
      </c>
    </row>
    <row r="129" spans="1:19">
      <c r="A129" s="1083">
        <f t="shared" si="20"/>
        <v>9.4799999999999898</v>
      </c>
      <c r="B129" s="851" t="s">
        <v>1187</v>
      </c>
      <c r="C129" s="1053">
        <f t="shared" si="18"/>
        <v>0</v>
      </c>
      <c r="D129" s="1053">
        <f t="shared" si="16"/>
        <v>0</v>
      </c>
      <c r="E129" s="1053"/>
      <c r="F129" s="1053"/>
      <c r="G129" s="1053">
        <f t="shared" si="17"/>
        <v>0</v>
      </c>
      <c r="H129" s="1053"/>
      <c r="I129" s="1053">
        <f t="shared" si="19"/>
        <v>0</v>
      </c>
      <c r="J129" s="1053">
        <f t="shared" si="19"/>
        <v>0</v>
      </c>
      <c r="K129" s="1053">
        <f t="shared" si="19"/>
        <v>0</v>
      </c>
      <c r="L129" s="1053"/>
      <c r="M129" s="851">
        <v>0</v>
      </c>
      <c r="N129" s="851">
        <v>0</v>
      </c>
      <c r="O129" s="851">
        <v>0</v>
      </c>
      <c r="P129" s="1053"/>
      <c r="Q129" s="851">
        <v>0</v>
      </c>
      <c r="R129" s="851">
        <v>0</v>
      </c>
      <c r="S129" s="851">
        <v>0</v>
      </c>
    </row>
    <row r="130" spans="1:19">
      <c r="A130" s="1083">
        <f t="shared" si="20"/>
        <v>9.4899999999999896</v>
      </c>
      <c r="B130" s="851" t="s">
        <v>1188</v>
      </c>
      <c r="C130" s="1053">
        <f t="shared" si="18"/>
        <v>0</v>
      </c>
      <c r="D130" s="1053">
        <f t="shared" si="16"/>
        <v>0</v>
      </c>
      <c r="E130" s="1053"/>
      <c r="F130" s="1053"/>
      <c r="G130" s="1053">
        <f t="shared" si="17"/>
        <v>0</v>
      </c>
      <c r="H130" s="1053"/>
      <c r="I130" s="1053">
        <f t="shared" si="19"/>
        <v>0</v>
      </c>
      <c r="J130" s="1053">
        <f t="shared" si="19"/>
        <v>0</v>
      </c>
      <c r="K130" s="1053">
        <f t="shared" si="19"/>
        <v>0</v>
      </c>
      <c r="L130" s="1053"/>
      <c r="M130" s="851">
        <v>0</v>
      </c>
      <c r="N130" s="851">
        <v>0</v>
      </c>
      <c r="O130" s="851">
        <v>0</v>
      </c>
      <c r="P130" s="1053"/>
      <c r="Q130" s="851">
        <v>0</v>
      </c>
      <c r="R130" s="851">
        <v>0</v>
      </c>
      <c r="S130" s="851">
        <v>0</v>
      </c>
    </row>
    <row r="131" spans="1:19">
      <c r="A131" s="1083">
        <f t="shared" si="20"/>
        <v>9.4999999999999893</v>
      </c>
      <c r="B131" s="851" t="s">
        <v>1189</v>
      </c>
      <c r="C131" s="1053">
        <f t="shared" si="18"/>
        <v>0</v>
      </c>
      <c r="D131" s="1053">
        <f t="shared" si="16"/>
        <v>0</v>
      </c>
      <c r="E131" s="1053"/>
      <c r="F131" s="1053"/>
      <c r="G131" s="1053">
        <f t="shared" si="17"/>
        <v>0</v>
      </c>
      <c r="H131" s="1053"/>
      <c r="I131" s="1053">
        <f t="shared" si="19"/>
        <v>0</v>
      </c>
      <c r="J131" s="1053">
        <f t="shared" si="19"/>
        <v>0</v>
      </c>
      <c r="K131" s="1053">
        <f t="shared" si="19"/>
        <v>0</v>
      </c>
      <c r="L131" s="1053"/>
      <c r="M131" s="851">
        <v>0</v>
      </c>
      <c r="N131" s="851">
        <v>0</v>
      </c>
      <c r="O131" s="851">
        <v>0</v>
      </c>
      <c r="P131" s="1053"/>
      <c r="Q131" s="851">
        <v>0</v>
      </c>
      <c r="R131" s="851">
        <v>0</v>
      </c>
      <c r="S131" s="851">
        <v>0</v>
      </c>
    </row>
    <row r="132" spans="1:19">
      <c r="A132" s="1083">
        <f t="shared" si="20"/>
        <v>9.5099999999999891</v>
      </c>
      <c r="B132" s="851" t="s">
        <v>1190</v>
      </c>
      <c r="C132" s="1053">
        <f t="shared" si="18"/>
        <v>0</v>
      </c>
      <c r="D132" s="1053">
        <f t="shared" si="16"/>
        <v>0</v>
      </c>
      <c r="E132" s="1053"/>
      <c r="F132" s="1053"/>
      <c r="G132" s="1053">
        <f t="shared" si="17"/>
        <v>0</v>
      </c>
      <c r="H132" s="1053"/>
      <c r="I132" s="1053">
        <f t="shared" si="19"/>
        <v>0</v>
      </c>
      <c r="J132" s="1053">
        <f t="shared" si="19"/>
        <v>0</v>
      </c>
      <c r="K132" s="1053">
        <f t="shared" si="19"/>
        <v>0</v>
      </c>
      <c r="L132" s="1053"/>
      <c r="M132" s="851">
        <v>0</v>
      </c>
      <c r="N132" s="851">
        <v>0</v>
      </c>
      <c r="O132" s="851">
        <v>0</v>
      </c>
      <c r="P132" s="1053"/>
      <c r="Q132" s="851">
        <v>0</v>
      </c>
      <c r="R132" s="851">
        <v>0</v>
      </c>
      <c r="S132" s="851">
        <v>0</v>
      </c>
    </row>
    <row r="133" spans="1:19">
      <c r="A133" s="1083">
        <f t="shared" si="20"/>
        <v>9.5199999999999889</v>
      </c>
      <c r="B133" s="851" t="s">
        <v>1191</v>
      </c>
      <c r="C133" s="1053">
        <f t="shared" si="18"/>
        <v>0</v>
      </c>
      <c r="D133" s="1053">
        <f t="shared" si="16"/>
        <v>0</v>
      </c>
      <c r="E133" s="1053"/>
      <c r="F133" s="1053"/>
      <c r="G133" s="1053">
        <f t="shared" si="17"/>
        <v>0</v>
      </c>
      <c r="H133" s="1053"/>
      <c r="I133" s="1053">
        <f t="shared" si="19"/>
        <v>0</v>
      </c>
      <c r="J133" s="1053">
        <f t="shared" si="19"/>
        <v>0</v>
      </c>
      <c r="K133" s="1053">
        <f t="shared" si="19"/>
        <v>0</v>
      </c>
      <c r="L133" s="1053"/>
      <c r="M133" s="851">
        <v>0</v>
      </c>
      <c r="N133" s="851">
        <v>0</v>
      </c>
      <c r="O133" s="851">
        <v>0</v>
      </c>
      <c r="P133" s="1053"/>
      <c r="Q133" s="851">
        <v>0</v>
      </c>
      <c r="R133" s="851">
        <v>0</v>
      </c>
      <c r="S133" s="851">
        <v>0</v>
      </c>
    </row>
    <row r="134" spans="1:19">
      <c r="A134" s="1083">
        <f t="shared" si="20"/>
        <v>9.5299999999999887</v>
      </c>
      <c r="B134" s="851" t="s">
        <v>1192</v>
      </c>
      <c r="C134" s="1053">
        <f t="shared" si="18"/>
        <v>0</v>
      </c>
      <c r="D134" s="1053">
        <f t="shared" si="16"/>
        <v>0</v>
      </c>
      <c r="E134" s="1053"/>
      <c r="F134" s="1053"/>
      <c r="G134" s="1053">
        <f t="shared" si="17"/>
        <v>0</v>
      </c>
      <c r="H134" s="1053"/>
      <c r="I134" s="1053">
        <f t="shared" si="19"/>
        <v>0</v>
      </c>
      <c r="J134" s="1053">
        <f t="shared" si="19"/>
        <v>0</v>
      </c>
      <c r="K134" s="1053">
        <f t="shared" si="19"/>
        <v>0</v>
      </c>
      <c r="L134" s="1053"/>
      <c r="M134" s="851">
        <v>0</v>
      </c>
      <c r="N134" s="851">
        <v>0</v>
      </c>
      <c r="O134" s="851">
        <v>0</v>
      </c>
      <c r="P134" s="1053"/>
      <c r="Q134" s="851">
        <v>0</v>
      </c>
      <c r="R134" s="851">
        <v>0</v>
      </c>
      <c r="S134" s="851">
        <v>0</v>
      </c>
    </row>
    <row r="135" spans="1:19">
      <c r="A135" s="1083">
        <f t="shared" si="20"/>
        <v>9.5399999999999885</v>
      </c>
      <c r="B135" s="851" t="s">
        <v>1193</v>
      </c>
      <c r="C135" s="1053">
        <f t="shared" si="18"/>
        <v>0</v>
      </c>
      <c r="D135" s="1053">
        <f t="shared" si="16"/>
        <v>0</v>
      </c>
      <c r="E135" s="1053"/>
      <c r="F135" s="1053"/>
      <c r="G135" s="1053">
        <f t="shared" si="17"/>
        <v>0</v>
      </c>
      <c r="H135" s="1053"/>
      <c r="I135" s="1053">
        <f t="shared" si="19"/>
        <v>0</v>
      </c>
      <c r="J135" s="1053">
        <f t="shared" si="19"/>
        <v>0</v>
      </c>
      <c r="K135" s="1053">
        <f t="shared" si="19"/>
        <v>0</v>
      </c>
      <c r="L135" s="1053"/>
      <c r="M135" s="851">
        <v>0</v>
      </c>
      <c r="N135" s="851">
        <v>0</v>
      </c>
      <c r="O135" s="851">
        <v>0</v>
      </c>
      <c r="P135" s="1053"/>
      <c r="Q135" s="851">
        <v>0</v>
      </c>
      <c r="R135" s="851">
        <v>0</v>
      </c>
      <c r="S135" s="851">
        <v>0</v>
      </c>
    </row>
    <row r="136" spans="1:19">
      <c r="A136" s="1083">
        <f t="shared" si="20"/>
        <v>9.5499999999999883</v>
      </c>
      <c r="B136" s="851" t="s">
        <v>1194</v>
      </c>
      <c r="C136" s="1053">
        <f t="shared" si="18"/>
        <v>10449061.52</v>
      </c>
      <c r="D136" s="1053">
        <f t="shared" si="16"/>
        <v>5589381.4000000004</v>
      </c>
      <c r="E136" s="1053"/>
      <c r="F136" s="1053"/>
      <c r="G136" s="1053">
        <f t="shared" si="17"/>
        <v>8019221</v>
      </c>
      <c r="H136" s="1053"/>
      <c r="I136" s="1053">
        <f t="shared" si="19"/>
        <v>0</v>
      </c>
      <c r="J136" s="1053">
        <f t="shared" si="19"/>
        <v>0</v>
      </c>
      <c r="K136" s="1053">
        <f t="shared" si="19"/>
        <v>8019221.46</v>
      </c>
      <c r="L136" s="1053"/>
      <c r="M136" s="851">
        <v>0</v>
      </c>
      <c r="N136" s="851">
        <v>0</v>
      </c>
      <c r="O136" s="851">
        <v>10449061.52</v>
      </c>
      <c r="P136" s="1053"/>
      <c r="Q136" s="851">
        <v>0</v>
      </c>
      <c r="R136" s="851">
        <v>0</v>
      </c>
      <c r="S136" s="851">
        <v>5589381.4000000004</v>
      </c>
    </row>
    <row r="137" spans="1:19">
      <c r="A137" s="1083">
        <f t="shared" si="20"/>
        <v>9.5599999999999881</v>
      </c>
      <c r="B137" s="851" t="s">
        <v>1195</v>
      </c>
      <c r="C137" s="1053">
        <f t="shared" si="18"/>
        <v>1288857.1599999999</v>
      </c>
      <c r="D137" s="1053">
        <f t="shared" si="16"/>
        <v>0</v>
      </c>
      <c r="E137" s="1053"/>
      <c r="F137" s="1053"/>
      <c r="G137" s="1053">
        <f>ROUND(SUM(C137:F137)/2,0)</f>
        <v>644429</v>
      </c>
      <c r="H137" s="1053"/>
      <c r="I137" s="1053">
        <f t="shared" si="19"/>
        <v>0</v>
      </c>
      <c r="J137" s="1053">
        <f t="shared" si="19"/>
        <v>0</v>
      </c>
      <c r="K137" s="1053">
        <f t="shared" si="19"/>
        <v>644428.57999999996</v>
      </c>
      <c r="L137" s="1053"/>
      <c r="M137" s="851">
        <v>0</v>
      </c>
      <c r="N137" s="851">
        <v>0</v>
      </c>
      <c r="O137" s="851">
        <v>1288857.1599999999</v>
      </c>
      <c r="P137" s="1053"/>
      <c r="Q137" s="851">
        <v>0</v>
      </c>
      <c r="R137" s="851">
        <v>0</v>
      </c>
      <c r="S137" s="851">
        <v>0</v>
      </c>
    </row>
    <row r="138" spans="1:19">
      <c r="A138" s="1083">
        <f t="shared" si="20"/>
        <v>9.5699999999999878</v>
      </c>
      <c r="B138" s="851" t="s">
        <v>1196</v>
      </c>
      <c r="C138" s="1053">
        <f t="shared" si="18"/>
        <v>0</v>
      </c>
      <c r="D138" s="1053">
        <f t="shared" si="16"/>
        <v>0</v>
      </c>
      <c r="E138" s="1053"/>
      <c r="F138" s="1053"/>
      <c r="G138" s="1053">
        <f>ROUND(SUM(C138:F138)/2,0)</f>
        <v>0</v>
      </c>
      <c r="H138" s="1053"/>
      <c r="I138" s="1053">
        <f t="shared" si="19"/>
        <v>0</v>
      </c>
      <c r="J138" s="1053">
        <f t="shared" si="19"/>
        <v>0</v>
      </c>
      <c r="K138" s="1053">
        <f t="shared" si="19"/>
        <v>0</v>
      </c>
      <c r="L138" s="1053"/>
      <c r="M138" s="851">
        <v>0</v>
      </c>
      <c r="N138" s="851">
        <v>0</v>
      </c>
      <c r="O138" s="851">
        <v>0</v>
      </c>
      <c r="P138" s="1053"/>
      <c r="Q138" s="851">
        <v>0</v>
      </c>
      <c r="R138" s="851">
        <v>0</v>
      </c>
      <c r="S138" s="851">
        <v>0</v>
      </c>
    </row>
    <row r="139" spans="1:19">
      <c r="A139" s="1083">
        <f t="shared" si="20"/>
        <v>9.5799999999999876</v>
      </c>
      <c r="B139" s="851" t="s">
        <v>1197</v>
      </c>
      <c r="C139" s="1053">
        <f t="shared" si="18"/>
        <v>0</v>
      </c>
      <c r="D139" s="1053">
        <f t="shared" si="16"/>
        <v>0</v>
      </c>
      <c r="E139" s="1053"/>
      <c r="F139" s="1053"/>
      <c r="G139" s="1053">
        <f>ROUND(SUM(C139:F139)/2,0)</f>
        <v>0</v>
      </c>
      <c r="H139" s="1053"/>
      <c r="I139" s="1053">
        <f t="shared" si="19"/>
        <v>0</v>
      </c>
      <c r="J139" s="1053">
        <f t="shared" si="19"/>
        <v>0</v>
      </c>
      <c r="K139" s="1053">
        <f t="shared" si="19"/>
        <v>0</v>
      </c>
      <c r="L139" s="1053"/>
      <c r="M139" s="851">
        <v>0</v>
      </c>
      <c r="N139" s="851">
        <v>0</v>
      </c>
      <c r="O139" s="851">
        <v>0</v>
      </c>
      <c r="P139" s="1053"/>
      <c r="Q139" s="851">
        <v>0</v>
      </c>
      <c r="R139" s="851">
        <v>0</v>
      </c>
      <c r="S139" s="851">
        <v>0</v>
      </c>
    </row>
    <row r="140" spans="1:19">
      <c r="A140" s="1083">
        <f t="shared" si="20"/>
        <v>9.5899999999999874</v>
      </c>
      <c r="B140" s="851" t="s">
        <v>1198</v>
      </c>
      <c r="C140" s="1053">
        <f t="shared" si="18"/>
        <v>0</v>
      </c>
      <c r="D140" s="1053">
        <f t="shared" si="16"/>
        <v>0</v>
      </c>
      <c r="E140" s="1053"/>
      <c r="F140" s="1053"/>
      <c r="G140" s="1053">
        <f t="shared" ref="G140:G179" si="21">ROUND(SUM(C140:F140)/2,0)</f>
        <v>0</v>
      </c>
      <c r="H140" s="1053"/>
      <c r="I140" s="1053">
        <f t="shared" si="19"/>
        <v>0</v>
      </c>
      <c r="J140" s="1053">
        <f t="shared" si="19"/>
        <v>0</v>
      </c>
      <c r="K140" s="1053">
        <f t="shared" si="19"/>
        <v>0</v>
      </c>
      <c r="L140" s="1053"/>
      <c r="M140" s="851">
        <v>0</v>
      </c>
      <c r="N140" s="851">
        <v>0</v>
      </c>
      <c r="O140" s="851">
        <v>0</v>
      </c>
      <c r="P140" s="1053"/>
      <c r="Q140" s="851">
        <v>0</v>
      </c>
      <c r="R140" s="851">
        <v>0</v>
      </c>
      <c r="S140" s="851">
        <v>0</v>
      </c>
    </row>
    <row r="141" spans="1:19">
      <c r="A141" s="1083">
        <f t="shared" si="20"/>
        <v>9.5999999999999872</v>
      </c>
      <c r="B141" s="851" t="s">
        <v>1199</v>
      </c>
      <c r="C141" s="1053">
        <f t="shared" si="18"/>
        <v>0</v>
      </c>
      <c r="D141" s="1053">
        <f t="shared" si="16"/>
        <v>0</v>
      </c>
      <c r="E141" s="1053"/>
      <c r="F141" s="1053"/>
      <c r="G141" s="1053">
        <f t="shared" si="21"/>
        <v>0</v>
      </c>
      <c r="H141" s="1053"/>
      <c r="I141" s="1053">
        <f t="shared" si="19"/>
        <v>0</v>
      </c>
      <c r="J141" s="1053">
        <f t="shared" si="19"/>
        <v>0</v>
      </c>
      <c r="K141" s="1053">
        <f t="shared" si="19"/>
        <v>0</v>
      </c>
      <c r="L141" s="1053"/>
      <c r="M141" s="851">
        <v>0</v>
      </c>
      <c r="N141" s="851">
        <v>0</v>
      </c>
      <c r="O141" s="851">
        <v>0</v>
      </c>
      <c r="P141" s="1053"/>
      <c r="Q141" s="851">
        <v>0</v>
      </c>
      <c r="R141" s="851">
        <v>0</v>
      </c>
      <c r="S141" s="851">
        <v>0</v>
      </c>
    </row>
    <row r="142" spans="1:19">
      <c r="A142" s="1083">
        <f t="shared" si="20"/>
        <v>9.609999999999987</v>
      </c>
      <c r="B142" s="851" t="s">
        <v>1200</v>
      </c>
      <c r="C142" s="1053">
        <f t="shared" si="18"/>
        <v>0</v>
      </c>
      <c r="D142" s="1053">
        <f t="shared" si="16"/>
        <v>0</v>
      </c>
      <c r="E142" s="1053"/>
      <c r="F142" s="1053"/>
      <c r="G142" s="1053">
        <f t="shared" si="21"/>
        <v>0</v>
      </c>
      <c r="H142" s="1053"/>
      <c r="I142" s="1053">
        <f t="shared" si="19"/>
        <v>0</v>
      </c>
      <c r="J142" s="1053">
        <f t="shared" si="19"/>
        <v>0</v>
      </c>
      <c r="K142" s="1053">
        <f t="shared" si="19"/>
        <v>0</v>
      </c>
      <c r="L142" s="1053"/>
      <c r="M142" s="851">
        <v>0</v>
      </c>
      <c r="N142" s="851">
        <v>0</v>
      </c>
      <c r="O142" s="851">
        <v>0</v>
      </c>
      <c r="P142" s="1053"/>
      <c r="Q142" s="851">
        <v>0</v>
      </c>
      <c r="R142" s="851">
        <v>0</v>
      </c>
      <c r="S142" s="851">
        <v>0</v>
      </c>
    </row>
    <row r="143" spans="1:19">
      <c r="A143" s="1083">
        <f t="shared" si="20"/>
        <v>9.6199999999999868</v>
      </c>
      <c r="B143" s="851" t="s">
        <v>1201</v>
      </c>
      <c r="C143" s="1053">
        <f t="shared" si="18"/>
        <v>1833390.3</v>
      </c>
      <c r="D143" s="1053">
        <f t="shared" si="16"/>
        <v>110051.47</v>
      </c>
      <c r="E143" s="1053"/>
      <c r="F143" s="1053"/>
      <c r="G143" s="1053">
        <f t="shared" si="21"/>
        <v>971721</v>
      </c>
      <c r="H143" s="1053"/>
      <c r="I143" s="1053">
        <f t="shared" ref="I143:K163" si="22">(M143+Q143)/2</f>
        <v>971720.88500000001</v>
      </c>
      <c r="J143" s="1053">
        <f t="shared" si="22"/>
        <v>0</v>
      </c>
      <c r="K143" s="1053">
        <f t="shared" si="22"/>
        <v>0</v>
      </c>
      <c r="L143" s="1053"/>
      <c r="M143" s="851">
        <v>1833390.3</v>
      </c>
      <c r="N143" s="851">
        <v>0</v>
      </c>
      <c r="O143" s="851">
        <v>0</v>
      </c>
      <c r="P143" s="1053"/>
      <c r="Q143" s="851">
        <v>110051.47</v>
      </c>
      <c r="R143" s="851">
        <v>0</v>
      </c>
      <c r="S143" s="851">
        <v>0</v>
      </c>
    </row>
    <row r="144" spans="1:19">
      <c r="A144" s="1083">
        <f t="shared" si="20"/>
        <v>9.6299999999999866</v>
      </c>
      <c r="B144" s="851" t="s">
        <v>1202</v>
      </c>
      <c r="C144" s="1053">
        <f t="shared" si="18"/>
        <v>0</v>
      </c>
      <c r="D144" s="1053">
        <f t="shared" si="16"/>
        <v>0</v>
      </c>
      <c r="E144" s="1053"/>
      <c r="F144" s="1053"/>
      <c r="G144" s="1053">
        <f t="shared" si="21"/>
        <v>0</v>
      </c>
      <c r="H144" s="1053"/>
      <c r="I144" s="1053">
        <f t="shared" si="22"/>
        <v>0</v>
      </c>
      <c r="J144" s="1053">
        <f t="shared" si="22"/>
        <v>0</v>
      </c>
      <c r="K144" s="1053">
        <f t="shared" si="22"/>
        <v>0</v>
      </c>
      <c r="L144" s="1053"/>
      <c r="M144" s="851">
        <v>0</v>
      </c>
      <c r="N144" s="851">
        <v>0</v>
      </c>
      <c r="O144" s="851">
        <v>0</v>
      </c>
      <c r="P144" s="1053"/>
      <c r="Q144" s="851">
        <v>0</v>
      </c>
      <c r="R144" s="851">
        <v>0</v>
      </c>
      <c r="S144" s="851">
        <v>0</v>
      </c>
    </row>
    <row r="145" spans="1:19">
      <c r="A145" s="1083">
        <f t="shared" si="20"/>
        <v>9.6399999999999864</v>
      </c>
      <c r="B145" s="851" t="s">
        <v>1203</v>
      </c>
      <c r="C145" s="1053">
        <f t="shared" si="18"/>
        <v>215984.64000000001</v>
      </c>
      <c r="D145" s="1053">
        <f t="shared" si="16"/>
        <v>129590.78</v>
      </c>
      <c r="E145" s="1053"/>
      <c r="F145" s="1053"/>
      <c r="G145" s="1053">
        <f t="shared" si="21"/>
        <v>172788</v>
      </c>
      <c r="H145" s="1053"/>
      <c r="I145" s="1053">
        <f t="shared" si="22"/>
        <v>172787.71000000002</v>
      </c>
      <c r="J145" s="1053">
        <f t="shared" si="22"/>
        <v>0</v>
      </c>
      <c r="K145" s="1053">
        <f t="shared" si="22"/>
        <v>0</v>
      </c>
      <c r="L145" s="1053"/>
      <c r="M145" s="851">
        <v>215984.64000000001</v>
      </c>
      <c r="N145" s="851">
        <v>0</v>
      </c>
      <c r="O145" s="851">
        <v>0</v>
      </c>
      <c r="P145" s="1053"/>
      <c r="Q145" s="851">
        <v>129590.78</v>
      </c>
      <c r="R145" s="851">
        <v>0</v>
      </c>
      <c r="S145" s="851">
        <v>0</v>
      </c>
    </row>
    <row r="146" spans="1:19">
      <c r="A146" s="1083">
        <f>A145+0.01</f>
        <v>9.6499999999999861</v>
      </c>
      <c r="B146" s="851" t="s">
        <v>1204</v>
      </c>
      <c r="C146" s="1053">
        <f t="shared" si="18"/>
        <v>1221763.48</v>
      </c>
      <c r="D146" s="1053">
        <f t="shared" ref="D146:D174" si="23">SUM(Q146:S146)</f>
        <v>0</v>
      </c>
      <c r="E146" s="1053"/>
      <c r="F146" s="1053"/>
      <c r="G146" s="1053">
        <f t="shared" si="21"/>
        <v>610882</v>
      </c>
      <c r="H146" s="1053"/>
      <c r="I146" s="1053">
        <f t="shared" si="22"/>
        <v>0</v>
      </c>
      <c r="J146" s="1053">
        <f t="shared" si="22"/>
        <v>0</v>
      </c>
      <c r="K146" s="1053">
        <f t="shared" si="22"/>
        <v>610881.74</v>
      </c>
      <c r="L146" s="1053"/>
      <c r="M146" s="851">
        <v>0</v>
      </c>
      <c r="N146" s="851">
        <v>0</v>
      </c>
      <c r="O146" s="851">
        <v>1221763.48</v>
      </c>
      <c r="P146" s="1053"/>
      <c r="Q146" s="851">
        <v>0</v>
      </c>
      <c r="R146" s="851">
        <v>0</v>
      </c>
      <c r="S146" s="851">
        <v>0</v>
      </c>
    </row>
    <row r="147" spans="1:19">
      <c r="A147" s="1083">
        <f t="shared" si="20"/>
        <v>9.6599999999999859</v>
      </c>
      <c r="B147" s="851" t="s">
        <v>1205</v>
      </c>
      <c r="C147" s="1057">
        <f t="shared" ref="C147:C174" si="24">SUM(M147:O147)</f>
        <v>13893212.039999999</v>
      </c>
      <c r="D147" s="1057">
        <f t="shared" si="23"/>
        <v>7415018.1799999997</v>
      </c>
      <c r="E147" s="1057"/>
      <c r="F147" s="1057"/>
      <c r="G147" s="1057">
        <f t="shared" si="21"/>
        <v>10654115</v>
      </c>
      <c r="H147" s="1057"/>
      <c r="I147" s="1057">
        <f t="shared" si="22"/>
        <v>10654115.109999999</v>
      </c>
      <c r="J147" s="1057">
        <f t="shared" si="22"/>
        <v>0</v>
      </c>
      <c r="K147" s="1057">
        <f t="shared" si="22"/>
        <v>0</v>
      </c>
      <c r="L147" s="1057"/>
      <c r="M147" s="851">
        <v>13893212.039999999</v>
      </c>
      <c r="N147" s="851">
        <v>0</v>
      </c>
      <c r="O147" s="851">
        <v>0</v>
      </c>
      <c r="P147" s="1057"/>
      <c r="Q147" s="851">
        <v>7415018.1799999997</v>
      </c>
      <c r="R147" s="851">
        <v>0</v>
      </c>
      <c r="S147" s="851">
        <v>0</v>
      </c>
    </row>
    <row r="148" spans="1:19">
      <c r="A148" s="1083">
        <f t="shared" ref="A148:A183" si="25">A147+0.01</f>
        <v>9.6699999999999857</v>
      </c>
      <c r="B148" s="851" t="s">
        <v>1206</v>
      </c>
      <c r="C148" s="1053">
        <f t="shared" si="24"/>
        <v>17442280.449999999</v>
      </c>
      <c r="D148" s="1053">
        <f t="shared" si="23"/>
        <v>10571002.369999999</v>
      </c>
      <c r="E148" s="1053"/>
      <c r="F148" s="1053"/>
      <c r="G148" s="1053">
        <f t="shared" si="21"/>
        <v>14006641</v>
      </c>
      <c r="H148" s="1053"/>
      <c r="I148" s="1053">
        <f t="shared" si="22"/>
        <v>14006641.41</v>
      </c>
      <c r="J148" s="1053">
        <f t="shared" si="22"/>
        <v>0</v>
      </c>
      <c r="K148" s="1053">
        <f t="shared" si="22"/>
        <v>0</v>
      </c>
      <c r="L148" s="1053"/>
      <c r="M148" s="851">
        <v>17442280.449999999</v>
      </c>
      <c r="N148" s="851">
        <v>0</v>
      </c>
      <c r="O148" s="851">
        <v>0</v>
      </c>
      <c r="P148" s="1053"/>
      <c r="Q148" s="851">
        <v>10571002.369999999</v>
      </c>
      <c r="R148" s="851">
        <v>0</v>
      </c>
      <c r="S148" s="851">
        <v>0</v>
      </c>
    </row>
    <row r="149" spans="1:19">
      <c r="A149" s="1083">
        <f t="shared" si="25"/>
        <v>9.6799999999999855</v>
      </c>
      <c r="B149" s="851" t="s">
        <v>1207</v>
      </c>
      <c r="C149" s="1053">
        <f t="shared" si="24"/>
        <v>-0.45</v>
      </c>
      <c r="D149" s="1053">
        <f t="shared" si="23"/>
        <v>-0.27</v>
      </c>
      <c r="E149" s="1053"/>
      <c r="F149" s="1053"/>
      <c r="G149" s="1053">
        <f t="shared" si="21"/>
        <v>0</v>
      </c>
      <c r="H149" s="1053"/>
      <c r="I149" s="1053">
        <f t="shared" si="22"/>
        <v>-0.36</v>
      </c>
      <c r="J149" s="1053">
        <f t="shared" si="22"/>
        <v>0</v>
      </c>
      <c r="K149" s="1053">
        <f t="shared" si="22"/>
        <v>0</v>
      </c>
      <c r="L149" s="1053"/>
      <c r="M149" s="851">
        <v>-0.45</v>
      </c>
      <c r="N149" s="851">
        <v>0</v>
      </c>
      <c r="O149" s="851">
        <v>0</v>
      </c>
      <c r="P149" s="1053"/>
      <c r="Q149" s="851">
        <v>-0.27</v>
      </c>
      <c r="R149" s="851">
        <v>0</v>
      </c>
      <c r="S149" s="851">
        <v>0</v>
      </c>
    </row>
    <row r="150" spans="1:19">
      <c r="A150" s="1083">
        <f t="shared" si="25"/>
        <v>9.6899999999999853</v>
      </c>
      <c r="B150" s="851" t="s">
        <v>1208</v>
      </c>
      <c r="C150" s="1053">
        <f t="shared" si="24"/>
        <v>2998449.3</v>
      </c>
      <c r="D150" s="1053">
        <f t="shared" si="23"/>
        <v>1699951.21</v>
      </c>
      <c r="E150" s="1053"/>
      <c r="F150" s="1053"/>
      <c r="G150" s="1053">
        <f t="shared" si="21"/>
        <v>2349200</v>
      </c>
      <c r="H150" s="1053"/>
      <c r="I150" s="1053">
        <f t="shared" si="22"/>
        <v>2349200.2549999999</v>
      </c>
      <c r="J150" s="1053">
        <f t="shared" si="22"/>
        <v>0</v>
      </c>
      <c r="K150" s="1053">
        <f t="shared" si="22"/>
        <v>0</v>
      </c>
      <c r="L150" s="1053"/>
      <c r="M150" s="851">
        <v>2998449.3</v>
      </c>
      <c r="N150" s="851">
        <v>0</v>
      </c>
      <c r="O150" s="851">
        <v>0</v>
      </c>
      <c r="P150" s="1053"/>
      <c r="Q150" s="851">
        <v>1699951.21</v>
      </c>
      <c r="R150" s="851">
        <v>0</v>
      </c>
      <c r="S150" s="851">
        <v>0</v>
      </c>
    </row>
    <row r="151" spans="1:19">
      <c r="A151" s="1083">
        <f t="shared" si="25"/>
        <v>9.6999999999999851</v>
      </c>
      <c r="B151" s="851" t="s">
        <v>1209</v>
      </c>
      <c r="C151" s="1053">
        <f>SUM(M151:O151)</f>
        <v>8280256.5700000003</v>
      </c>
      <c r="D151" s="1053">
        <f t="shared" si="23"/>
        <v>4786304.8</v>
      </c>
      <c r="E151" s="1053"/>
      <c r="F151" s="1053"/>
      <c r="G151" s="1053">
        <f t="shared" si="21"/>
        <v>6533281</v>
      </c>
      <c r="H151" s="1053"/>
      <c r="I151" s="1053">
        <f t="shared" si="22"/>
        <v>6533280.6850000005</v>
      </c>
      <c r="J151" s="1053">
        <f t="shared" si="22"/>
        <v>0</v>
      </c>
      <c r="K151" s="1053">
        <f t="shared" si="22"/>
        <v>0</v>
      </c>
      <c r="L151" s="1053"/>
      <c r="M151" s="851">
        <v>8280256.5700000003</v>
      </c>
      <c r="N151" s="851">
        <v>0</v>
      </c>
      <c r="O151" s="851">
        <v>0</v>
      </c>
      <c r="P151" s="1053"/>
      <c r="Q151" s="851">
        <v>4786304.8</v>
      </c>
      <c r="R151" s="851">
        <v>0</v>
      </c>
      <c r="S151" s="851">
        <v>0</v>
      </c>
    </row>
    <row r="152" spans="1:19">
      <c r="A152" s="1083">
        <f t="shared" si="25"/>
        <v>9.7099999999999849</v>
      </c>
      <c r="B152" s="851" t="s">
        <v>1210</v>
      </c>
      <c r="C152" s="1053">
        <f t="shared" si="24"/>
        <v>1488556.9</v>
      </c>
      <c r="D152" s="1053">
        <f t="shared" si="23"/>
        <v>853780.4</v>
      </c>
      <c r="E152" s="1053"/>
      <c r="F152" s="1053"/>
      <c r="G152" s="1053">
        <f t="shared" si="21"/>
        <v>1171169</v>
      </c>
      <c r="H152" s="1053"/>
      <c r="I152" s="1053">
        <f t="shared" si="22"/>
        <v>1171168.6499999999</v>
      </c>
      <c r="J152" s="1053">
        <f t="shared" si="22"/>
        <v>0</v>
      </c>
      <c r="K152" s="1053">
        <f t="shared" si="22"/>
        <v>0</v>
      </c>
      <c r="L152" s="1053"/>
      <c r="M152" s="851">
        <v>1488556.9</v>
      </c>
      <c r="N152" s="851">
        <v>0</v>
      </c>
      <c r="O152" s="851">
        <v>0</v>
      </c>
      <c r="P152" s="1053"/>
      <c r="Q152" s="851">
        <v>853780.4</v>
      </c>
      <c r="R152" s="851">
        <v>0</v>
      </c>
      <c r="S152" s="851">
        <v>0</v>
      </c>
    </row>
    <row r="153" spans="1:19">
      <c r="A153" s="1083">
        <f t="shared" si="25"/>
        <v>9.7199999999999847</v>
      </c>
      <c r="B153" s="851" t="s">
        <v>1211</v>
      </c>
      <c r="C153" s="1053">
        <f>SUM(M153:O153)</f>
        <v>2635820.7999999998</v>
      </c>
      <c r="D153" s="1053">
        <f t="shared" si="23"/>
        <v>1881896.15</v>
      </c>
      <c r="E153" s="1053"/>
      <c r="F153" s="1053"/>
      <c r="G153" s="1053">
        <f t="shared" si="21"/>
        <v>2258858</v>
      </c>
      <c r="H153" s="1053"/>
      <c r="I153" s="1053">
        <f t="shared" si="22"/>
        <v>2258858.4749999996</v>
      </c>
      <c r="J153" s="1053">
        <f t="shared" si="22"/>
        <v>0</v>
      </c>
      <c r="K153" s="1053">
        <f t="shared" si="22"/>
        <v>0</v>
      </c>
      <c r="L153" s="1053"/>
      <c r="M153" s="851">
        <v>2635820.7999999998</v>
      </c>
      <c r="N153" s="851">
        <v>0</v>
      </c>
      <c r="O153" s="851">
        <v>0</v>
      </c>
      <c r="P153" s="1053"/>
      <c r="Q153" s="851">
        <v>1881896.15</v>
      </c>
      <c r="R153" s="851">
        <v>0</v>
      </c>
      <c r="S153" s="851">
        <v>0</v>
      </c>
    </row>
    <row r="154" spans="1:19">
      <c r="A154" s="1083">
        <f t="shared" si="25"/>
        <v>9.7299999999999844</v>
      </c>
      <c r="B154" s="851" t="s">
        <v>1212</v>
      </c>
      <c r="C154" s="1053">
        <f>SUM(M154:O154)</f>
        <v>668208.36</v>
      </c>
      <c r="D154" s="1053">
        <f t="shared" si="23"/>
        <v>235025.02</v>
      </c>
      <c r="E154" s="1053"/>
      <c r="F154" s="1053"/>
      <c r="G154" s="1053">
        <f t="shared" si="21"/>
        <v>451617</v>
      </c>
      <c r="H154" s="1053"/>
      <c r="I154" s="1053">
        <f t="shared" si="22"/>
        <v>0</v>
      </c>
      <c r="J154" s="1053">
        <f t="shared" si="22"/>
        <v>0</v>
      </c>
      <c r="K154" s="1053">
        <f t="shared" si="22"/>
        <v>451616.69</v>
      </c>
      <c r="L154" s="1053"/>
      <c r="M154" s="851">
        <v>0</v>
      </c>
      <c r="N154" s="851">
        <v>0</v>
      </c>
      <c r="O154" s="851">
        <v>668208.36</v>
      </c>
      <c r="P154" s="1053"/>
      <c r="Q154" s="851">
        <v>0</v>
      </c>
      <c r="R154" s="851">
        <v>0</v>
      </c>
      <c r="S154" s="851">
        <v>235025.02</v>
      </c>
    </row>
    <row r="155" spans="1:19">
      <c r="A155" s="1083">
        <f t="shared" si="25"/>
        <v>9.7399999999999842</v>
      </c>
      <c r="B155" s="851" t="s">
        <v>1213</v>
      </c>
      <c r="C155" s="1053">
        <f>SUM(M155:O155)</f>
        <v>421815.95</v>
      </c>
      <c r="D155" s="1053">
        <f t="shared" si="23"/>
        <v>0.01</v>
      </c>
      <c r="E155" s="1053"/>
      <c r="F155" s="1053"/>
      <c r="G155" s="1053">
        <f t="shared" si="21"/>
        <v>210908</v>
      </c>
      <c r="H155" s="1053"/>
      <c r="I155" s="1053">
        <f t="shared" si="22"/>
        <v>0</v>
      </c>
      <c r="J155" s="1053">
        <f t="shared" si="22"/>
        <v>0</v>
      </c>
      <c r="K155" s="1053">
        <f t="shared" si="22"/>
        <v>210907.98</v>
      </c>
      <c r="L155" s="1053"/>
      <c r="M155" s="851">
        <v>0</v>
      </c>
      <c r="N155" s="851">
        <v>0</v>
      </c>
      <c r="O155" s="851">
        <v>421815.95</v>
      </c>
      <c r="P155" s="1053"/>
      <c r="Q155" s="851">
        <v>0</v>
      </c>
      <c r="R155" s="851">
        <v>0</v>
      </c>
      <c r="S155" s="851">
        <v>0.01</v>
      </c>
    </row>
    <row r="156" spans="1:19">
      <c r="A156" s="1083">
        <f t="shared" si="25"/>
        <v>9.749999999999984</v>
      </c>
      <c r="B156" s="851" t="s">
        <v>1214</v>
      </c>
      <c r="C156" s="1053">
        <f>SUM(M156:O156)</f>
        <v>-613121.1</v>
      </c>
      <c r="D156" s="1053">
        <f t="shared" si="23"/>
        <v>0</v>
      </c>
      <c r="E156" s="1053"/>
      <c r="F156" s="1053"/>
      <c r="G156" s="1053">
        <f t="shared" si="21"/>
        <v>-306561</v>
      </c>
      <c r="H156" s="1053"/>
      <c r="I156" s="1053">
        <f t="shared" si="22"/>
        <v>0</v>
      </c>
      <c r="J156" s="1053">
        <f t="shared" si="22"/>
        <v>0</v>
      </c>
      <c r="K156" s="1053">
        <f t="shared" si="22"/>
        <v>-306560.55</v>
      </c>
      <c r="L156" s="1053"/>
      <c r="M156" s="851">
        <v>0</v>
      </c>
      <c r="N156" s="851">
        <v>0</v>
      </c>
      <c r="O156" s="851">
        <v>-613121.1</v>
      </c>
      <c r="P156" s="1053"/>
      <c r="Q156" s="851">
        <v>0</v>
      </c>
      <c r="R156" s="851">
        <v>0</v>
      </c>
      <c r="S156" s="851">
        <v>0</v>
      </c>
    </row>
    <row r="157" spans="1:19">
      <c r="A157" s="1083">
        <f t="shared" si="25"/>
        <v>9.7599999999999838</v>
      </c>
      <c r="B157" s="851" t="s">
        <v>1215</v>
      </c>
      <c r="C157" s="1053">
        <f t="shared" si="24"/>
        <v>2676180.23</v>
      </c>
      <c r="D157" s="1053">
        <f t="shared" si="23"/>
        <v>119881.71</v>
      </c>
      <c r="E157" s="1053"/>
      <c r="F157" s="1053"/>
      <c r="G157" s="1053">
        <f t="shared" si="21"/>
        <v>1398031</v>
      </c>
      <c r="H157" s="1053"/>
      <c r="I157" s="1053">
        <f t="shared" si="22"/>
        <v>0</v>
      </c>
      <c r="J157" s="1053">
        <f t="shared" si="22"/>
        <v>0</v>
      </c>
      <c r="K157" s="1053">
        <f t="shared" si="22"/>
        <v>1398030.97</v>
      </c>
      <c r="L157" s="1053"/>
      <c r="M157" s="851">
        <v>0</v>
      </c>
      <c r="N157" s="851">
        <v>0</v>
      </c>
      <c r="O157" s="851">
        <v>2676180.23</v>
      </c>
      <c r="P157" s="1053"/>
      <c r="Q157" s="851">
        <v>0</v>
      </c>
      <c r="R157" s="851">
        <v>0</v>
      </c>
      <c r="S157" s="851">
        <v>119881.71</v>
      </c>
    </row>
    <row r="158" spans="1:19">
      <c r="A158" s="1083">
        <f t="shared" si="25"/>
        <v>9.7699999999999836</v>
      </c>
      <c r="B158" s="851" t="s">
        <v>1216</v>
      </c>
      <c r="C158" s="1053">
        <f t="shared" si="24"/>
        <v>107600.75</v>
      </c>
      <c r="D158" s="1053">
        <f t="shared" si="23"/>
        <v>0</v>
      </c>
      <c r="E158" s="1053"/>
      <c r="F158" s="1053"/>
      <c r="G158" s="1053">
        <f t="shared" si="21"/>
        <v>53800</v>
      </c>
      <c r="H158" s="1053"/>
      <c r="I158" s="1053">
        <f t="shared" si="22"/>
        <v>0</v>
      </c>
      <c r="J158" s="1053">
        <f t="shared" si="22"/>
        <v>0</v>
      </c>
      <c r="K158" s="1053">
        <f t="shared" si="22"/>
        <v>53800.375</v>
      </c>
      <c r="L158" s="1053"/>
      <c r="M158" s="851">
        <v>0</v>
      </c>
      <c r="N158" s="851">
        <v>0</v>
      </c>
      <c r="O158" s="851">
        <v>107600.75</v>
      </c>
      <c r="P158" s="1053"/>
      <c r="Q158" s="851">
        <v>0</v>
      </c>
      <c r="R158" s="851">
        <v>0</v>
      </c>
      <c r="S158" s="851">
        <v>0</v>
      </c>
    </row>
    <row r="159" spans="1:19">
      <c r="A159" s="1083">
        <f t="shared" si="25"/>
        <v>9.7799999999999834</v>
      </c>
      <c r="B159" s="851" t="s">
        <v>1217</v>
      </c>
      <c r="C159" s="1053">
        <f t="shared" si="24"/>
        <v>-1058014.8799999999</v>
      </c>
      <c r="D159" s="1053">
        <f t="shared" si="23"/>
        <v>0</v>
      </c>
      <c r="E159" s="1053"/>
      <c r="F159" s="1053"/>
      <c r="G159" s="1053">
        <f t="shared" si="21"/>
        <v>-529007</v>
      </c>
      <c r="H159" s="1053"/>
      <c r="I159" s="1053">
        <f t="shared" si="22"/>
        <v>0</v>
      </c>
      <c r="J159" s="1053">
        <f t="shared" si="22"/>
        <v>0</v>
      </c>
      <c r="K159" s="1053">
        <f t="shared" si="22"/>
        <v>-529007.43999999994</v>
      </c>
      <c r="L159" s="1053"/>
      <c r="M159" s="851">
        <v>0</v>
      </c>
      <c r="N159" s="851">
        <v>0</v>
      </c>
      <c r="O159" s="851">
        <v>-1058014.8799999999</v>
      </c>
      <c r="P159" s="1053"/>
      <c r="Q159" s="851">
        <v>0</v>
      </c>
      <c r="R159" s="851">
        <v>0</v>
      </c>
      <c r="S159" s="851">
        <v>0</v>
      </c>
    </row>
    <row r="160" spans="1:19">
      <c r="A160" s="1083">
        <f t="shared" si="25"/>
        <v>9.7899999999999832</v>
      </c>
      <c r="B160" s="851" t="s">
        <v>1218</v>
      </c>
      <c r="C160" s="1053">
        <f t="shared" si="24"/>
        <v>28715.3</v>
      </c>
      <c r="D160" s="1053">
        <f t="shared" si="23"/>
        <v>72813.67</v>
      </c>
      <c r="E160" s="1053"/>
      <c r="F160" s="1053"/>
      <c r="G160" s="1053">
        <f t="shared" si="21"/>
        <v>50764</v>
      </c>
      <c r="H160" s="1053"/>
      <c r="I160" s="1053">
        <f t="shared" si="22"/>
        <v>0</v>
      </c>
      <c r="J160" s="1053">
        <f t="shared" si="22"/>
        <v>0</v>
      </c>
      <c r="K160" s="1053">
        <f t="shared" si="22"/>
        <v>50764.485000000001</v>
      </c>
      <c r="L160" s="1053"/>
      <c r="M160" s="851">
        <v>0</v>
      </c>
      <c r="N160" s="851">
        <v>0</v>
      </c>
      <c r="O160" s="851">
        <v>28715.3</v>
      </c>
      <c r="P160" s="1053"/>
      <c r="Q160" s="851">
        <v>0</v>
      </c>
      <c r="R160" s="851">
        <v>0</v>
      </c>
      <c r="S160" s="851">
        <v>72813.67</v>
      </c>
    </row>
    <row r="161" spans="1:19">
      <c r="A161" s="1083">
        <f t="shared" si="25"/>
        <v>9.7999999999999829</v>
      </c>
      <c r="B161" s="851" t="s">
        <v>1219</v>
      </c>
      <c r="C161" s="1053">
        <f t="shared" si="24"/>
        <v>0</v>
      </c>
      <c r="D161" s="1053">
        <f t="shared" si="23"/>
        <v>0</v>
      </c>
      <c r="E161" s="1053"/>
      <c r="F161" s="1053"/>
      <c r="G161" s="1053">
        <f t="shared" si="21"/>
        <v>0</v>
      </c>
      <c r="H161" s="1053"/>
      <c r="I161" s="1053">
        <f t="shared" si="22"/>
        <v>0</v>
      </c>
      <c r="J161" s="1053">
        <f t="shared" si="22"/>
        <v>0</v>
      </c>
      <c r="K161" s="1053">
        <f t="shared" si="22"/>
        <v>0</v>
      </c>
      <c r="L161" s="1053"/>
      <c r="M161" s="851">
        <v>0</v>
      </c>
      <c r="N161" s="851">
        <v>0</v>
      </c>
      <c r="O161" s="851">
        <v>0</v>
      </c>
      <c r="P161" s="1053"/>
      <c r="Q161" s="851">
        <v>0</v>
      </c>
      <c r="R161" s="851">
        <v>0</v>
      </c>
      <c r="S161" s="851">
        <v>0</v>
      </c>
    </row>
    <row r="162" spans="1:19">
      <c r="A162" s="1083">
        <f t="shared" si="25"/>
        <v>9.8099999999999827</v>
      </c>
      <c r="B162" s="851" t="s">
        <v>1220</v>
      </c>
      <c r="C162" s="1053">
        <f t="shared" si="24"/>
        <v>0</v>
      </c>
      <c r="D162" s="1053">
        <f t="shared" si="23"/>
        <v>0</v>
      </c>
      <c r="E162" s="1053"/>
      <c r="F162" s="1053"/>
      <c r="G162" s="1053">
        <f t="shared" si="21"/>
        <v>0</v>
      </c>
      <c r="H162" s="1053"/>
      <c r="I162" s="1053">
        <f t="shared" si="22"/>
        <v>0</v>
      </c>
      <c r="J162" s="1053">
        <f t="shared" si="22"/>
        <v>0</v>
      </c>
      <c r="K162" s="1053">
        <f t="shared" si="22"/>
        <v>0</v>
      </c>
      <c r="L162" s="1053"/>
      <c r="M162" s="851">
        <v>0</v>
      </c>
      <c r="N162" s="851">
        <v>0</v>
      </c>
      <c r="O162" s="851">
        <v>0</v>
      </c>
      <c r="P162" s="1053"/>
      <c r="Q162" s="851">
        <v>0</v>
      </c>
      <c r="R162" s="851">
        <v>0</v>
      </c>
      <c r="S162" s="851">
        <v>0</v>
      </c>
    </row>
    <row r="163" spans="1:19">
      <c r="A163" s="1083">
        <f t="shared" si="25"/>
        <v>9.8199999999999825</v>
      </c>
      <c r="B163" s="851" t="s">
        <v>1221</v>
      </c>
      <c r="C163" s="1053">
        <f t="shared" si="24"/>
        <v>282742.74</v>
      </c>
      <c r="D163" s="1053">
        <f t="shared" si="23"/>
        <v>290142.38</v>
      </c>
      <c r="E163" s="1053"/>
      <c r="F163" s="1053"/>
      <c r="G163" s="1053">
        <f t="shared" si="21"/>
        <v>286443</v>
      </c>
      <c r="H163" s="1053"/>
      <c r="I163" s="1053">
        <f t="shared" si="22"/>
        <v>0</v>
      </c>
      <c r="J163" s="1053">
        <f t="shared" si="22"/>
        <v>0</v>
      </c>
      <c r="K163" s="1053">
        <f t="shared" si="22"/>
        <v>286442.56</v>
      </c>
      <c r="L163" s="1053"/>
      <c r="M163" s="851">
        <v>0</v>
      </c>
      <c r="N163" s="851">
        <v>0</v>
      </c>
      <c r="O163" s="851">
        <v>282742.74</v>
      </c>
      <c r="P163" s="1053"/>
      <c r="Q163" s="851">
        <v>0</v>
      </c>
      <c r="R163" s="851">
        <v>0</v>
      </c>
      <c r="S163" s="851">
        <v>290142.38</v>
      </c>
    </row>
    <row r="164" spans="1:19">
      <c r="A164" s="1083">
        <f t="shared" si="25"/>
        <v>9.8299999999999823</v>
      </c>
      <c r="B164" s="851" t="s">
        <v>1222</v>
      </c>
      <c r="C164" s="1053">
        <f>SUM(M164:O164)</f>
        <v>0</v>
      </c>
      <c r="D164" s="1053">
        <f t="shared" si="23"/>
        <v>0</v>
      </c>
      <c r="E164" s="1053"/>
      <c r="F164" s="1053"/>
      <c r="G164" s="1053">
        <f t="shared" si="21"/>
        <v>0</v>
      </c>
      <c r="H164" s="1053"/>
      <c r="I164" s="1053">
        <f t="shared" ref="I164:K174" si="26">(M164+Q164)/2</f>
        <v>0</v>
      </c>
      <c r="J164" s="1053">
        <f t="shared" si="26"/>
        <v>0</v>
      </c>
      <c r="K164" s="1053">
        <f t="shared" si="26"/>
        <v>0</v>
      </c>
      <c r="L164" s="1053"/>
      <c r="M164" s="851">
        <v>0</v>
      </c>
      <c r="N164" s="851">
        <v>0</v>
      </c>
      <c r="O164" s="851">
        <v>0</v>
      </c>
      <c r="P164" s="1053"/>
      <c r="Q164" s="851">
        <v>0</v>
      </c>
      <c r="R164" s="851">
        <v>0</v>
      </c>
      <c r="S164" s="851">
        <v>0</v>
      </c>
    </row>
    <row r="165" spans="1:19">
      <c r="A165" s="1083">
        <f t="shared" si="25"/>
        <v>9.8399999999999821</v>
      </c>
      <c r="B165" s="851" t="s">
        <v>1223</v>
      </c>
      <c r="C165" s="1053">
        <f>SUM(M165:O165)</f>
        <v>0</v>
      </c>
      <c r="D165" s="1053">
        <f t="shared" si="23"/>
        <v>0</v>
      </c>
      <c r="E165" s="1053"/>
      <c r="F165" s="1053"/>
      <c r="G165" s="1053">
        <f t="shared" si="21"/>
        <v>0</v>
      </c>
      <c r="H165" s="1053"/>
      <c r="I165" s="1053">
        <f t="shared" si="26"/>
        <v>0</v>
      </c>
      <c r="J165" s="1053">
        <f t="shared" si="26"/>
        <v>0</v>
      </c>
      <c r="K165" s="1053">
        <f t="shared" si="26"/>
        <v>0</v>
      </c>
      <c r="L165" s="1053"/>
      <c r="M165" s="851">
        <v>0</v>
      </c>
      <c r="N165" s="851">
        <v>0</v>
      </c>
      <c r="O165" s="851">
        <v>0</v>
      </c>
      <c r="P165" s="1053"/>
      <c r="Q165" s="851">
        <v>0</v>
      </c>
      <c r="R165" s="851">
        <v>0</v>
      </c>
      <c r="S165" s="851">
        <v>0</v>
      </c>
    </row>
    <row r="166" spans="1:19">
      <c r="A166" s="1083">
        <f t="shared" si="25"/>
        <v>9.8499999999999819</v>
      </c>
      <c r="B166" s="851" t="s">
        <v>1224</v>
      </c>
      <c r="C166" s="1053">
        <f>SUM(M166:O166)</f>
        <v>513888.62</v>
      </c>
      <c r="D166" s="1053">
        <f t="shared" si="23"/>
        <v>792566.45</v>
      </c>
      <c r="E166" s="1053"/>
      <c r="F166" s="1053"/>
      <c r="G166" s="1053">
        <f t="shared" si="21"/>
        <v>653228</v>
      </c>
      <c r="H166" s="1053"/>
      <c r="I166" s="1053">
        <f t="shared" si="26"/>
        <v>0</v>
      </c>
      <c r="J166" s="1053">
        <f t="shared" si="26"/>
        <v>0</v>
      </c>
      <c r="K166" s="1053">
        <f t="shared" si="26"/>
        <v>653227.53499999992</v>
      </c>
      <c r="L166" s="1053"/>
      <c r="M166" s="851">
        <v>0</v>
      </c>
      <c r="N166" s="851">
        <v>0</v>
      </c>
      <c r="O166" s="851">
        <v>513888.62</v>
      </c>
      <c r="P166" s="1053"/>
      <c r="Q166" s="851">
        <v>0</v>
      </c>
      <c r="R166" s="851">
        <v>0</v>
      </c>
      <c r="S166" s="851">
        <v>792566.45</v>
      </c>
    </row>
    <row r="167" spans="1:19">
      <c r="A167" s="1083">
        <f t="shared" si="25"/>
        <v>9.8599999999999817</v>
      </c>
      <c r="B167" s="851" t="s">
        <v>1225</v>
      </c>
      <c r="C167" s="1053">
        <f>SUM(M167:O167)</f>
        <v>0</v>
      </c>
      <c r="D167" s="1053">
        <f t="shared" si="23"/>
        <v>0</v>
      </c>
      <c r="E167" s="1053"/>
      <c r="F167" s="1053"/>
      <c r="G167" s="1053">
        <f t="shared" si="21"/>
        <v>0</v>
      </c>
      <c r="H167" s="1053"/>
      <c r="I167" s="1053">
        <f t="shared" si="26"/>
        <v>0</v>
      </c>
      <c r="J167" s="1053">
        <f t="shared" si="26"/>
        <v>0</v>
      </c>
      <c r="K167" s="1053">
        <f t="shared" si="26"/>
        <v>0</v>
      </c>
      <c r="L167" s="1053"/>
      <c r="M167" s="851">
        <v>0</v>
      </c>
      <c r="N167" s="851">
        <v>0</v>
      </c>
      <c r="O167" s="851">
        <v>0</v>
      </c>
      <c r="P167" s="1053"/>
      <c r="Q167" s="851">
        <v>0</v>
      </c>
      <c r="R167" s="851">
        <v>0</v>
      </c>
      <c r="S167" s="851">
        <v>0</v>
      </c>
    </row>
    <row r="168" spans="1:19">
      <c r="A168" s="1083">
        <f t="shared" si="25"/>
        <v>9.8699999999999815</v>
      </c>
      <c r="B168" s="851" t="s">
        <v>1226</v>
      </c>
      <c r="C168" s="1053">
        <f t="shared" si="24"/>
        <v>0</v>
      </c>
      <c r="D168" s="1053">
        <f t="shared" si="23"/>
        <v>0</v>
      </c>
      <c r="E168" s="1053"/>
      <c r="F168" s="1053"/>
      <c r="G168" s="1053">
        <f t="shared" si="21"/>
        <v>0</v>
      </c>
      <c r="H168" s="1053"/>
      <c r="I168" s="1053">
        <f t="shared" si="26"/>
        <v>0</v>
      </c>
      <c r="J168" s="1053">
        <f t="shared" si="26"/>
        <v>0</v>
      </c>
      <c r="K168" s="1053">
        <f t="shared" si="26"/>
        <v>0</v>
      </c>
      <c r="L168" s="1053"/>
      <c r="M168" s="851">
        <v>0</v>
      </c>
      <c r="N168" s="851">
        <v>0</v>
      </c>
      <c r="O168" s="851">
        <v>0</v>
      </c>
      <c r="P168" s="1053"/>
      <c r="Q168" s="851">
        <v>0</v>
      </c>
      <c r="R168" s="851">
        <v>0</v>
      </c>
      <c r="S168" s="851">
        <v>0</v>
      </c>
    </row>
    <row r="169" spans="1:19">
      <c r="A169" s="1083">
        <f t="shared" si="25"/>
        <v>9.8799999999999812</v>
      </c>
      <c r="B169" s="851" t="s">
        <v>1227</v>
      </c>
      <c r="C169" s="1053">
        <f t="shared" si="24"/>
        <v>-52757.97</v>
      </c>
      <c r="D169" s="1053">
        <f t="shared" si="23"/>
        <v>0</v>
      </c>
      <c r="E169" s="1053"/>
      <c r="F169" s="1053"/>
      <c r="G169" s="1053">
        <f t="shared" si="21"/>
        <v>-26379</v>
      </c>
      <c r="H169" s="1053"/>
      <c r="I169" s="1053">
        <f t="shared" si="26"/>
        <v>0</v>
      </c>
      <c r="J169" s="1053">
        <f t="shared" si="26"/>
        <v>0</v>
      </c>
      <c r="K169" s="1053">
        <f t="shared" si="26"/>
        <v>-26378.985000000001</v>
      </c>
      <c r="L169" s="1053"/>
      <c r="M169" s="851">
        <v>0</v>
      </c>
      <c r="N169" s="851">
        <v>0</v>
      </c>
      <c r="O169" s="851">
        <v>-52757.97</v>
      </c>
      <c r="P169" s="1053"/>
      <c r="Q169" s="851">
        <v>0</v>
      </c>
      <c r="R169" s="851">
        <v>0</v>
      </c>
      <c r="S169" s="851">
        <v>0</v>
      </c>
    </row>
    <row r="170" spans="1:19">
      <c r="A170" s="1083">
        <f t="shared" si="25"/>
        <v>9.889999999999981</v>
      </c>
      <c r="B170" s="851" t="s">
        <v>1228</v>
      </c>
      <c r="C170" s="1053">
        <f t="shared" si="24"/>
        <v>9065749.6999999993</v>
      </c>
      <c r="D170" s="1053">
        <f t="shared" si="23"/>
        <v>5530871.4299999997</v>
      </c>
      <c r="E170" s="1053"/>
      <c r="F170" s="1053"/>
      <c r="G170" s="1053">
        <f t="shared" si="21"/>
        <v>7298311</v>
      </c>
      <c r="H170" s="1053"/>
      <c r="I170" s="1053">
        <f t="shared" si="26"/>
        <v>6107410.5049999999</v>
      </c>
      <c r="J170" s="1053">
        <f t="shared" si="26"/>
        <v>244088.07499999998</v>
      </c>
      <c r="K170" s="1053">
        <f t="shared" si="26"/>
        <v>946811.9850000001</v>
      </c>
      <c r="L170" s="1053"/>
      <c r="M170" s="851">
        <v>7646605.75</v>
      </c>
      <c r="N170" s="851">
        <v>305926.59999999998</v>
      </c>
      <c r="O170" s="851">
        <v>1113217.3500000001</v>
      </c>
      <c r="P170" s="1053"/>
      <c r="Q170" s="851">
        <v>4568215.26</v>
      </c>
      <c r="R170" s="851">
        <v>182249.55</v>
      </c>
      <c r="S170" s="851">
        <v>780406.62</v>
      </c>
    </row>
    <row r="171" spans="1:19">
      <c r="A171" s="1083">
        <f t="shared" si="25"/>
        <v>9.8999999999999808</v>
      </c>
      <c r="B171" s="851" t="s">
        <v>1229</v>
      </c>
      <c r="C171" s="1053">
        <f t="shared" si="24"/>
        <v>22771996.700000003</v>
      </c>
      <c r="D171" s="1053">
        <f t="shared" si="23"/>
        <v>18760731.310000002</v>
      </c>
      <c r="E171" s="1053"/>
      <c r="F171" s="1053"/>
      <c r="G171" s="1053">
        <f t="shared" si="21"/>
        <v>20766364</v>
      </c>
      <c r="H171" s="1053"/>
      <c r="I171" s="1053">
        <f t="shared" si="26"/>
        <v>7330997.9950000001</v>
      </c>
      <c r="J171" s="1053">
        <f t="shared" si="26"/>
        <v>4354723.2149999999</v>
      </c>
      <c r="K171" s="1053">
        <f t="shared" si="26"/>
        <v>9080642.7949999999</v>
      </c>
      <c r="L171" s="1053"/>
      <c r="M171" s="851">
        <v>7973017.8200000003</v>
      </c>
      <c r="N171" s="851">
        <v>4840473.03</v>
      </c>
      <c r="O171" s="851">
        <v>9958505.8499999996</v>
      </c>
      <c r="P171" s="1053"/>
      <c r="Q171" s="851">
        <v>6688978.1699999999</v>
      </c>
      <c r="R171" s="851">
        <v>3868973.4</v>
      </c>
      <c r="S171" s="851">
        <v>8202779.7400000002</v>
      </c>
    </row>
    <row r="172" spans="1:19">
      <c r="A172" s="1083">
        <f t="shared" si="25"/>
        <v>9.9099999999999806</v>
      </c>
      <c r="B172" s="851" t="s">
        <v>1230</v>
      </c>
      <c r="C172" s="1053">
        <f t="shared" si="24"/>
        <v>32630289.82</v>
      </c>
      <c r="D172" s="1053">
        <f t="shared" si="23"/>
        <v>18751404.950000003</v>
      </c>
      <c r="E172" s="1053"/>
      <c r="F172" s="1053"/>
      <c r="G172" s="1053">
        <f>ROUND(SUM(C172:F172)/2,0)</f>
        <v>25690847</v>
      </c>
      <c r="H172" s="1053"/>
      <c r="I172" s="1053">
        <f t="shared" si="26"/>
        <v>12617661.43</v>
      </c>
      <c r="J172" s="1053">
        <f t="shared" si="26"/>
        <v>5240701.38</v>
      </c>
      <c r="K172" s="1053">
        <f t="shared" si="26"/>
        <v>7832484.5750000002</v>
      </c>
      <c r="L172" s="1053"/>
      <c r="M172" s="851">
        <v>16040862.48</v>
      </c>
      <c r="N172" s="851">
        <v>6649002.1100000003</v>
      </c>
      <c r="O172" s="851">
        <v>9940425.2300000004</v>
      </c>
      <c r="P172" s="1053"/>
      <c r="Q172" s="851">
        <v>9194460.3800000008</v>
      </c>
      <c r="R172" s="851">
        <v>3832400.65</v>
      </c>
      <c r="S172" s="851">
        <v>5724543.9199999999</v>
      </c>
    </row>
    <row r="173" spans="1:19">
      <c r="A173" s="1083">
        <f t="shared" si="25"/>
        <v>9.9199999999999804</v>
      </c>
      <c r="B173" s="851" t="s">
        <v>1231</v>
      </c>
      <c r="C173" s="1053">
        <f t="shared" si="24"/>
        <v>0</v>
      </c>
      <c r="D173" s="1053">
        <f t="shared" si="23"/>
        <v>0</v>
      </c>
      <c r="E173" s="1053"/>
      <c r="F173" s="1053"/>
      <c r="G173" s="1053">
        <f t="shared" si="21"/>
        <v>0</v>
      </c>
      <c r="H173" s="1053"/>
      <c r="I173" s="1053">
        <f t="shared" si="26"/>
        <v>0</v>
      </c>
      <c r="J173" s="1053">
        <f t="shared" si="26"/>
        <v>0</v>
      </c>
      <c r="K173" s="1053">
        <f t="shared" si="26"/>
        <v>0</v>
      </c>
      <c r="L173" s="1053"/>
      <c r="M173" s="851">
        <v>0</v>
      </c>
      <c r="N173" s="851">
        <v>0</v>
      </c>
      <c r="O173" s="851">
        <v>0</v>
      </c>
      <c r="P173" s="1053"/>
      <c r="Q173" s="851">
        <v>0</v>
      </c>
      <c r="R173" s="851">
        <v>0</v>
      </c>
      <c r="S173" s="851">
        <v>0</v>
      </c>
    </row>
    <row r="174" spans="1:19">
      <c r="A174" s="1083">
        <f t="shared" si="25"/>
        <v>9.9299999999999802</v>
      </c>
      <c r="B174" s="851" t="s">
        <v>1232</v>
      </c>
      <c r="C174" s="1053">
        <f t="shared" si="24"/>
        <v>1442604.72</v>
      </c>
      <c r="D174" s="1053">
        <f t="shared" si="23"/>
        <v>741910.99</v>
      </c>
      <c r="E174" s="1053"/>
      <c r="F174" s="1053"/>
      <c r="G174" s="1053">
        <f t="shared" si="21"/>
        <v>1092258</v>
      </c>
      <c r="H174" s="1053"/>
      <c r="I174" s="1053">
        <f t="shared" si="26"/>
        <v>451772.78500000003</v>
      </c>
      <c r="J174" s="1053">
        <f t="shared" si="26"/>
        <v>70537.675000000003</v>
      </c>
      <c r="K174" s="1053">
        <f t="shared" si="26"/>
        <v>569947.39500000002</v>
      </c>
      <c r="L174" s="1053"/>
      <c r="M174" s="851">
        <v>596681.05000000005</v>
      </c>
      <c r="N174" s="851">
        <v>93162.97</v>
      </c>
      <c r="O174" s="851">
        <v>752760.7</v>
      </c>
      <c r="P174" s="1053"/>
      <c r="Q174" s="851">
        <v>306864.52</v>
      </c>
      <c r="R174" s="851">
        <v>47912.38</v>
      </c>
      <c r="S174" s="851">
        <v>387134.09</v>
      </c>
    </row>
    <row r="175" spans="1:19">
      <c r="A175" s="1083">
        <f t="shared" si="25"/>
        <v>9.93999999999998</v>
      </c>
      <c r="B175" s="851" t="s">
        <v>1233</v>
      </c>
      <c r="C175" s="1053">
        <f>SUM(M175:O175)</f>
        <v>6595762.9100000001</v>
      </c>
      <c r="D175" s="1053">
        <f>SUM(Q175:S175)</f>
        <v>4057463.31</v>
      </c>
      <c r="E175" s="1053"/>
      <c r="F175" s="1053"/>
      <c r="G175" s="1053">
        <f>ROUND(SUM(C175:F175)/2,0)</f>
        <v>5326613</v>
      </c>
      <c r="H175" s="1053"/>
      <c r="I175" s="1053">
        <f t="shared" ref="I175:K177" si="27">(M175+Q175)/2</f>
        <v>1917940.7850000001</v>
      </c>
      <c r="J175" s="1053">
        <f t="shared" si="27"/>
        <v>220332.48500000002</v>
      </c>
      <c r="K175" s="1053">
        <f t="shared" si="27"/>
        <v>3188339.84</v>
      </c>
      <c r="L175" s="1053"/>
      <c r="M175" s="851">
        <v>2223849.56</v>
      </c>
      <c r="N175" s="851">
        <v>292746.65000000002</v>
      </c>
      <c r="O175" s="851">
        <v>4079166.7</v>
      </c>
      <c r="P175" s="1053"/>
      <c r="Q175" s="851">
        <v>1612032.01</v>
      </c>
      <c r="R175" s="851">
        <v>147918.32</v>
      </c>
      <c r="S175" s="851">
        <v>2297512.98</v>
      </c>
    </row>
    <row r="176" spans="1:19">
      <c r="A176" s="1083">
        <f t="shared" si="25"/>
        <v>9.9499999999999797</v>
      </c>
      <c r="B176" s="851" t="s">
        <v>1234</v>
      </c>
      <c r="C176" s="1053">
        <f>SUM(M176:O176)</f>
        <v>1779558.55</v>
      </c>
      <c r="D176" s="1053">
        <f>SUM(Q176:S176)</f>
        <v>1067735.1299999999</v>
      </c>
      <c r="E176" s="1053"/>
      <c r="F176" s="1053"/>
      <c r="G176" s="1053">
        <f>ROUND(SUM(C176:F176)/2,0)</f>
        <v>1423647</v>
      </c>
      <c r="H176" s="1053"/>
      <c r="I176" s="1053">
        <f t="shared" si="27"/>
        <v>1423646.8399999999</v>
      </c>
      <c r="J176" s="1053">
        <f t="shared" si="27"/>
        <v>0</v>
      </c>
      <c r="K176" s="1053">
        <f t="shared" si="27"/>
        <v>0</v>
      </c>
      <c r="L176" s="1053"/>
      <c r="M176" s="851">
        <v>1779558.55</v>
      </c>
      <c r="N176" s="851">
        <v>0</v>
      </c>
      <c r="O176" s="851">
        <v>0</v>
      </c>
      <c r="P176" s="1053"/>
      <c r="Q176" s="851">
        <v>1067735.1299999999</v>
      </c>
      <c r="R176" s="851">
        <v>0</v>
      </c>
      <c r="S176" s="851">
        <v>0</v>
      </c>
    </row>
    <row r="177" spans="1:19">
      <c r="A177" s="1083">
        <f t="shared" si="25"/>
        <v>9.9599999999999795</v>
      </c>
      <c r="B177" s="851" t="s">
        <v>1137</v>
      </c>
      <c r="C177" s="1053">
        <f>SUM(M177:O177)</f>
        <v>0</v>
      </c>
      <c r="D177" s="1053">
        <f>SUM(Q177:S177)</f>
        <v>-5870540.1800000016</v>
      </c>
      <c r="E177" s="1053"/>
      <c r="F177" s="1053"/>
      <c r="G177" s="1053">
        <f>ROUND(SUM(C177:F177)/2,0)</f>
        <v>-2935270</v>
      </c>
      <c r="H177" s="1053"/>
      <c r="I177" s="1053">
        <f t="shared" si="27"/>
        <v>9351814.4550000001</v>
      </c>
      <c r="J177" s="1053">
        <f t="shared" si="27"/>
        <v>-9186897.1750000007</v>
      </c>
      <c r="K177" s="1053">
        <f t="shared" si="27"/>
        <v>-3100187.37</v>
      </c>
      <c r="L177" s="1053"/>
      <c r="M177" s="851">
        <v>0</v>
      </c>
      <c r="N177" s="851">
        <v>0</v>
      </c>
      <c r="O177" s="851">
        <v>0</v>
      </c>
      <c r="P177" s="1053"/>
      <c r="Q177" s="851">
        <v>18703628.91</v>
      </c>
      <c r="R177" s="851">
        <v>-18373794.350000001</v>
      </c>
      <c r="S177" s="851">
        <v>-6200374.7400000002</v>
      </c>
    </row>
    <row r="178" spans="1:19">
      <c r="A178" s="1083">
        <f t="shared" si="25"/>
        <v>9.9699999999999793</v>
      </c>
      <c r="B178" s="851" t="s">
        <v>1092</v>
      </c>
      <c r="C178" s="851">
        <f t="shared" ref="C178:D183" si="28">-E178</f>
        <v>71623</v>
      </c>
      <c r="D178" s="851">
        <f t="shared" si="28"/>
        <v>8508</v>
      </c>
      <c r="E178" s="1053">
        <v>-71623</v>
      </c>
      <c r="F178" s="1053">
        <v>-8508</v>
      </c>
      <c r="G178" s="1053">
        <f t="shared" si="21"/>
        <v>0</v>
      </c>
      <c r="H178" s="1053"/>
      <c r="I178" s="1053"/>
      <c r="J178" s="1053"/>
      <c r="K178" s="1053"/>
      <c r="L178" s="1053"/>
      <c r="M178" s="1053"/>
      <c r="N178" s="1053"/>
      <c r="O178" s="1053"/>
      <c r="P178" s="1053"/>
      <c r="Q178" s="1053"/>
      <c r="R178" s="1053"/>
      <c r="S178" s="1053"/>
    </row>
    <row r="179" spans="1:19">
      <c r="A179" s="1083">
        <f t="shared" si="25"/>
        <v>9.9799999999999791</v>
      </c>
      <c r="B179" s="851" t="s">
        <v>1235</v>
      </c>
      <c r="C179" s="851">
        <f t="shared" si="28"/>
        <v>71665779</v>
      </c>
      <c r="D179" s="851">
        <f t="shared" si="28"/>
        <v>79772899</v>
      </c>
      <c r="E179" s="1053">
        <v>-71665779</v>
      </c>
      <c r="F179" s="1053">
        <v>-79772899</v>
      </c>
      <c r="G179" s="1053">
        <f t="shared" si="21"/>
        <v>0</v>
      </c>
      <c r="H179" s="1053"/>
      <c r="I179" s="1053"/>
      <c r="J179" s="1053"/>
      <c r="K179" s="1053"/>
      <c r="L179" s="1053"/>
      <c r="M179" s="1053"/>
      <c r="N179" s="1053"/>
      <c r="O179" s="1053"/>
      <c r="P179" s="1053"/>
      <c r="Q179" s="1053"/>
      <c r="R179" s="1053"/>
      <c r="S179" s="1053"/>
    </row>
    <row r="180" spans="1:19">
      <c r="A180" s="1083">
        <f t="shared" si="25"/>
        <v>9.9899999999999789</v>
      </c>
      <c r="B180" s="851" t="s">
        <v>1236</v>
      </c>
      <c r="C180" s="851">
        <f t="shared" si="28"/>
        <v>-12804071</v>
      </c>
      <c r="D180" s="851">
        <f t="shared" si="28"/>
        <v>-37916500</v>
      </c>
      <c r="E180" s="1053">
        <v>12804071</v>
      </c>
      <c r="F180" s="1053">
        <v>37916500</v>
      </c>
      <c r="G180" s="1053"/>
      <c r="H180" s="1053"/>
      <c r="I180" s="1053"/>
      <c r="J180" s="1053"/>
      <c r="K180" s="1053"/>
      <c r="L180" s="1053"/>
      <c r="M180" s="1053"/>
      <c r="N180" s="1053"/>
      <c r="O180" s="1053"/>
      <c r="P180" s="1053"/>
      <c r="Q180" s="1053"/>
      <c r="R180" s="1053"/>
      <c r="S180" s="1053"/>
    </row>
    <row r="181" spans="1:19">
      <c r="A181" s="1083">
        <f t="shared" si="25"/>
        <v>9.9999999999999787</v>
      </c>
      <c r="B181" s="851" t="s">
        <v>1237</v>
      </c>
      <c r="C181" s="851">
        <f t="shared" si="28"/>
        <v>1512279</v>
      </c>
      <c r="D181" s="851">
        <f t="shared" si="28"/>
        <v>1232476</v>
      </c>
      <c r="E181" s="1053">
        <v>-1512279</v>
      </c>
      <c r="F181" s="1053">
        <v>-1232476</v>
      </c>
      <c r="G181" s="1053"/>
      <c r="H181" s="1053"/>
      <c r="I181" s="1053"/>
      <c r="J181" s="1053"/>
      <c r="K181" s="1053"/>
      <c r="L181" s="1053"/>
      <c r="M181" s="1053"/>
      <c r="N181" s="1053"/>
      <c r="O181" s="1053"/>
      <c r="P181" s="1053"/>
      <c r="Q181" s="1053"/>
      <c r="R181" s="1053"/>
      <c r="S181" s="1053"/>
    </row>
    <row r="182" spans="1:19">
      <c r="A182" s="1083">
        <f t="shared" si="25"/>
        <v>10.009999999999978</v>
      </c>
      <c r="B182" s="851" t="s">
        <v>1238</v>
      </c>
      <c r="C182" s="851">
        <f t="shared" si="28"/>
        <v>18835</v>
      </c>
      <c r="D182" s="851">
        <f t="shared" si="28"/>
        <v>16262</v>
      </c>
      <c r="E182" s="1053">
        <v>-18835</v>
      </c>
      <c r="F182" s="1053">
        <v>-16262</v>
      </c>
      <c r="G182" s="1053"/>
      <c r="H182" s="1053"/>
      <c r="I182" s="1053"/>
      <c r="J182" s="1053"/>
      <c r="K182" s="1053"/>
      <c r="L182" s="1053"/>
      <c r="M182" s="1053"/>
      <c r="N182" s="1053"/>
      <c r="O182" s="1053"/>
      <c r="P182" s="1053"/>
      <c r="Q182" s="1053"/>
      <c r="R182" s="1053"/>
      <c r="S182" s="1053"/>
    </row>
    <row r="183" spans="1:19">
      <c r="A183" s="1083">
        <f t="shared" si="25"/>
        <v>10.019999999999978</v>
      </c>
      <c r="B183" s="851" t="s">
        <v>1239</v>
      </c>
      <c r="C183" s="851">
        <f t="shared" si="28"/>
        <v>0</v>
      </c>
      <c r="D183" s="851">
        <f t="shared" si="28"/>
        <v>0</v>
      </c>
      <c r="E183" s="1053">
        <v>0</v>
      </c>
      <c r="F183" s="1053">
        <v>0</v>
      </c>
      <c r="G183" s="1053"/>
      <c r="H183" s="1053"/>
      <c r="I183" s="1053"/>
      <c r="J183" s="1053"/>
      <c r="K183" s="1053"/>
      <c r="L183" s="1053"/>
      <c r="M183" s="1053"/>
      <c r="N183" s="1053"/>
      <c r="O183" s="1053"/>
      <c r="P183" s="1053"/>
      <c r="Q183" s="1053"/>
      <c r="R183" s="1053"/>
      <c r="S183" s="1053"/>
    </row>
    <row r="184" spans="1:19">
      <c r="A184" s="1083"/>
      <c r="B184" s="851"/>
      <c r="C184" s="851"/>
      <c r="D184" s="851"/>
      <c r="E184" s="1053"/>
      <c r="F184" s="1053"/>
      <c r="G184" s="1053"/>
      <c r="H184" s="1053"/>
      <c r="I184" s="1053"/>
      <c r="J184" s="1053"/>
      <c r="K184" s="1053"/>
      <c r="L184" s="1053"/>
      <c r="M184" s="1053"/>
      <c r="N184" s="1053"/>
      <c r="O184" s="1053"/>
      <c r="P184" s="1053"/>
      <c r="Q184" s="1053"/>
      <c r="R184" s="1053"/>
      <c r="S184" s="1053"/>
    </row>
    <row r="185" spans="1:19">
      <c r="A185" s="1063"/>
      <c r="B185" s="1043"/>
      <c r="C185" s="1053"/>
      <c r="D185" s="1053"/>
      <c r="E185" s="1053"/>
      <c r="F185" s="1053"/>
      <c r="G185" s="1053"/>
      <c r="H185" s="1053"/>
      <c r="I185" s="1053"/>
      <c r="J185" s="1053"/>
      <c r="K185" s="1053"/>
      <c r="L185" s="1053"/>
      <c r="M185" s="1053"/>
      <c r="N185" s="1053"/>
      <c r="O185" s="1053"/>
      <c r="P185" s="1053"/>
      <c r="Q185" s="1053"/>
      <c r="R185" s="1053"/>
      <c r="S185" s="1053"/>
    </row>
    <row r="186" spans="1:19">
      <c r="A186" s="1063"/>
      <c r="B186" s="1043"/>
      <c r="C186" s="1053"/>
      <c r="D186" s="1053"/>
      <c r="E186" s="1053"/>
      <c r="F186" s="1053"/>
      <c r="G186" s="1053"/>
      <c r="H186" s="1053"/>
      <c r="I186" s="1053"/>
      <c r="J186" s="1053"/>
      <c r="K186" s="1053"/>
      <c r="L186" s="1053"/>
      <c r="M186" s="1053"/>
      <c r="N186" s="1053"/>
      <c r="O186" s="1053"/>
      <c r="P186" s="1053"/>
      <c r="Q186" s="1053"/>
      <c r="R186" s="1053"/>
      <c r="S186" s="1053"/>
    </row>
    <row r="187" spans="1:19" ht="13.5" thickBot="1">
      <c r="A187" s="1063">
        <v>10</v>
      </c>
      <c r="B187" s="1044"/>
      <c r="C187" s="1055">
        <f>SUM(C82:C186)</f>
        <v>416534590.21000004</v>
      </c>
      <c r="D187" s="1055">
        <f>SUM(D82:D186)</f>
        <v>245975421.63</v>
      </c>
      <c r="E187" s="1055">
        <f>SUM(E82:E186)</f>
        <v>-60464445</v>
      </c>
      <c r="F187" s="1055">
        <f>SUM(F82:F186)</f>
        <v>-43113645</v>
      </c>
      <c r="G187" s="1055">
        <f>SUM(G82:G186)</f>
        <v>279465960</v>
      </c>
      <c r="H187" s="1059"/>
      <c r="I187" s="1055">
        <f>SUM(I82:I186)</f>
        <v>207856574.51999995</v>
      </c>
      <c r="J187" s="1055">
        <f>SUM(J82:J186)</f>
        <v>9505912.875</v>
      </c>
      <c r="K187" s="1055">
        <f>SUM(K82:K186)</f>
        <v>62103473.524999999</v>
      </c>
      <c r="L187" s="1059"/>
      <c r="M187" s="1055">
        <f>SUM(M82:M186)</f>
        <v>242428401.97000003</v>
      </c>
      <c r="N187" s="1055">
        <f>SUM(N82:N186)</f>
        <v>27241044.939999998</v>
      </c>
      <c r="O187" s="1055">
        <f>SUM(O82:O186)</f>
        <v>86400698.299999997</v>
      </c>
      <c r="P187" s="1059"/>
      <c r="Q187" s="1055">
        <f>SUM(Q82:Q186)</f>
        <v>173284747.06999996</v>
      </c>
      <c r="R187" s="1055">
        <f>SUM(R82:R186)</f>
        <v>-8229219.1900000013</v>
      </c>
      <c r="S187" s="1055">
        <f>SUM(S82:S186)</f>
        <v>37806248.750000007</v>
      </c>
    </row>
    <row r="188" spans="1:19" ht="13.5" thickTop="1">
      <c r="A188" s="1063"/>
      <c r="B188" s="1043"/>
      <c r="C188" s="1056"/>
      <c r="D188" s="1056"/>
      <c r="E188" s="1056"/>
      <c r="F188" s="1056"/>
      <c r="G188" s="1056"/>
      <c r="H188" s="1053"/>
      <c r="I188" s="1056"/>
      <c r="J188" s="1056"/>
      <c r="K188" s="1056"/>
      <c r="L188" s="1053"/>
      <c r="M188" s="1056"/>
      <c r="N188" s="1056"/>
      <c r="O188" s="1056"/>
      <c r="P188" s="1053"/>
      <c r="Q188" s="1056"/>
      <c r="R188" s="1056"/>
      <c r="S188" s="1056"/>
    </row>
    <row r="189" spans="1:19">
      <c r="A189" s="1063"/>
      <c r="B189" s="1043"/>
      <c r="C189" s="1053"/>
      <c r="D189" s="1053"/>
      <c r="E189" s="1053"/>
      <c r="F189" s="1053"/>
      <c r="G189" s="1053"/>
      <c r="H189" s="1053"/>
      <c r="I189" s="1053"/>
      <c r="J189" s="1053"/>
      <c r="K189" s="1053"/>
      <c r="L189" s="1053"/>
      <c r="M189" s="1053"/>
      <c r="N189" s="1053"/>
      <c r="O189" s="1053"/>
      <c r="P189" s="1053"/>
      <c r="Q189" s="1053"/>
      <c r="R189" s="1053"/>
      <c r="S189" s="1053"/>
    </row>
    <row r="190" spans="1:19">
      <c r="A190" s="1063">
        <f>+A187+1</f>
        <v>11</v>
      </c>
      <c r="B190" s="244" t="s">
        <v>741</v>
      </c>
      <c r="C190" s="1053">
        <f>SUM(M190:O190)</f>
        <v>70104066</v>
      </c>
      <c r="D190" s="1053">
        <f>SUM(Q190:S190)</f>
        <v>77853802</v>
      </c>
      <c r="E190" s="1053"/>
      <c r="F190" s="1053"/>
      <c r="G190" s="1053">
        <f>ROUND(SUM(C190:F190)/2,0)</f>
        <v>73978934</v>
      </c>
      <c r="H190" s="1053"/>
      <c r="I190" s="1053">
        <f>(M190+Q190)/2</f>
        <v>43630723</v>
      </c>
      <c r="J190" s="1053">
        <f>(N190+R190)/2</f>
        <v>11414999.5</v>
      </c>
      <c r="K190" s="1053">
        <f>(O190+S190)/2</f>
        <v>18933211.5</v>
      </c>
      <c r="L190" s="1053"/>
      <c r="M190" s="851">
        <v>44360427</v>
      </c>
      <c r="N190" s="851">
        <v>9640998</v>
      </c>
      <c r="O190" s="851">
        <v>16102641</v>
      </c>
      <c r="P190" s="1053"/>
      <c r="Q190" s="851">
        <v>42901019</v>
      </c>
      <c r="R190" s="851">
        <v>13189001</v>
      </c>
      <c r="S190" s="851">
        <v>21763782</v>
      </c>
    </row>
    <row r="191" spans="1:19">
      <c r="A191" s="1083">
        <f>A190+0.01</f>
        <v>11.01</v>
      </c>
      <c r="B191" s="851" t="s">
        <v>1240</v>
      </c>
      <c r="C191" s="851">
        <f>-E191</f>
        <v>265908719</v>
      </c>
      <c r="D191" s="851">
        <f>-F191</f>
        <v>261649408</v>
      </c>
      <c r="E191" s="1053">
        <v>-265908719</v>
      </c>
      <c r="F191" s="1053">
        <v>-261649408</v>
      </c>
      <c r="G191" s="1053">
        <f>ROUND(SUM(C191:F191)/2,0)</f>
        <v>0</v>
      </c>
      <c r="H191" s="1053"/>
      <c r="I191" s="1053"/>
      <c r="J191" s="1053"/>
      <c r="K191" s="1053"/>
      <c r="L191" s="1053"/>
      <c r="M191" s="1053"/>
      <c r="N191" s="1053"/>
      <c r="O191" s="1053"/>
      <c r="P191" s="1053"/>
      <c r="Q191" s="1053"/>
      <c r="R191" s="1053"/>
      <c r="S191" s="1053"/>
    </row>
    <row r="192" spans="1:19">
      <c r="A192" s="1063"/>
      <c r="B192" s="1043"/>
      <c r="C192" s="1053"/>
      <c r="D192" s="1053"/>
      <c r="E192" s="1053"/>
      <c r="F192" s="1053"/>
      <c r="G192" s="1053"/>
      <c r="H192" s="1053"/>
      <c r="I192" s="1053"/>
      <c r="J192" s="1053"/>
      <c r="K192" s="1053"/>
      <c r="L192" s="1053"/>
      <c r="M192" s="1053"/>
      <c r="N192" s="1053"/>
      <c r="O192" s="1053"/>
      <c r="P192" s="1053"/>
      <c r="Q192" s="1053"/>
      <c r="R192" s="1053"/>
      <c r="S192" s="1053"/>
    </row>
    <row r="193" spans="1:19" ht="13.5" thickBot="1">
      <c r="A193" s="1063">
        <f>+A190+1</f>
        <v>12</v>
      </c>
      <c r="B193" s="963" t="s">
        <v>742</v>
      </c>
      <c r="C193" s="1055">
        <f>SUM(C187:C192)</f>
        <v>752547375.21000004</v>
      </c>
      <c r="D193" s="1055">
        <f>SUM(D187:D192)</f>
        <v>585478631.63</v>
      </c>
      <c r="E193" s="1055">
        <f>SUM(E187:E192)</f>
        <v>-326373164</v>
      </c>
      <c r="F193" s="1055">
        <f>SUM(F187:F192)</f>
        <v>-304763053</v>
      </c>
      <c r="G193" s="1055">
        <f>SUM(G187:G192)</f>
        <v>353444894</v>
      </c>
      <c r="H193" s="1053"/>
      <c r="I193" s="1055">
        <f>SUM(I187:I192)</f>
        <v>251487297.51999995</v>
      </c>
      <c r="J193" s="1055">
        <f>SUM(J187:J192)</f>
        <v>20920912.375</v>
      </c>
      <c r="K193" s="1055">
        <f>SUM(K187:K192)</f>
        <v>81036685.025000006</v>
      </c>
      <c r="L193" s="1053"/>
      <c r="M193" s="1060">
        <f>SUM(M187:M192)</f>
        <v>286788828.97000003</v>
      </c>
      <c r="N193" s="1060">
        <f>SUM(N187:N192)</f>
        <v>36882042.939999998</v>
      </c>
      <c r="O193" s="1060">
        <f>SUM(O187:O192)</f>
        <v>102503339.3</v>
      </c>
      <c r="P193" s="1053"/>
      <c r="Q193" s="1055">
        <f>SUM(Q187:Q192)</f>
        <v>216185766.06999996</v>
      </c>
      <c r="R193" s="1055">
        <f>SUM(R187:R192)</f>
        <v>4959781.8099999987</v>
      </c>
      <c r="S193" s="1055">
        <f>SUM(S187:S192)</f>
        <v>59570030.750000007</v>
      </c>
    </row>
    <row r="194" spans="1:19" ht="13.5" thickTop="1">
      <c r="A194" s="1063">
        <f>A193+1</f>
        <v>13</v>
      </c>
      <c r="B194" s="1123" t="s">
        <v>753</v>
      </c>
      <c r="C194" s="1056">
        <f>C113+C147</f>
        <v>13893212.239999998</v>
      </c>
      <c r="D194" s="1056">
        <f t="shared" ref="D194:S194" si="29">D113+D147</f>
        <v>7415018.29</v>
      </c>
      <c r="E194" s="1056">
        <f t="shared" si="29"/>
        <v>0</v>
      </c>
      <c r="F194" s="1056">
        <f t="shared" si="29"/>
        <v>0</v>
      </c>
      <c r="G194" s="1056">
        <f t="shared" si="29"/>
        <v>10654115</v>
      </c>
      <c r="H194" s="1053"/>
      <c r="I194" s="1056">
        <f t="shared" si="29"/>
        <v>10654115.264999999</v>
      </c>
      <c r="J194" s="1056">
        <f t="shared" si="29"/>
        <v>0</v>
      </c>
      <c r="K194" s="1056">
        <f t="shared" si="29"/>
        <v>0</v>
      </c>
      <c r="L194" s="1053"/>
      <c r="M194" s="1056">
        <f t="shared" si="29"/>
        <v>13893212.239999998</v>
      </c>
      <c r="N194" s="1056">
        <f t="shared" si="29"/>
        <v>0</v>
      </c>
      <c r="O194" s="1056">
        <f t="shared" si="29"/>
        <v>0</v>
      </c>
      <c r="P194" s="1053"/>
      <c r="Q194" s="1056">
        <f t="shared" si="29"/>
        <v>7415018.29</v>
      </c>
      <c r="R194" s="1056">
        <f t="shared" si="29"/>
        <v>0</v>
      </c>
      <c r="S194" s="1056">
        <f t="shared" si="29"/>
        <v>0</v>
      </c>
    </row>
    <row r="195" spans="1:19">
      <c r="A195" s="1063"/>
      <c r="B195" s="1043"/>
      <c r="C195" s="1058"/>
      <c r="D195" s="1058"/>
      <c r="E195" s="1053"/>
      <c r="F195" s="1053"/>
      <c r="G195" s="1053"/>
      <c r="H195" s="1053"/>
      <c r="I195" s="1053"/>
      <c r="J195" s="1053"/>
      <c r="K195" s="1053"/>
      <c r="L195" s="1053"/>
      <c r="M195" s="1053"/>
      <c r="N195" s="1053"/>
      <c r="O195" s="1053"/>
      <c r="P195" s="1053"/>
      <c r="Q195" s="1053"/>
      <c r="R195" s="1053"/>
      <c r="S195" s="1053"/>
    </row>
    <row r="196" spans="1:19">
      <c r="A196" s="1063">
        <f>+A194+1</f>
        <v>14</v>
      </c>
      <c r="B196" s="1044" t="s">
        <v>743</v>
      </c>
      <c r="C196" s="1053"/>
      <c r="D196" s="1053"/>
      <c r="E196" s="1053"/>
      <c r="F196" s="1053"/>
      <c r="G196" s="1053"/>
      <c r="H196" s="1053"/>
      <c r="I196" s="1053"/>
      <c r="J196" s="1053"/>
      <c r="K196" s="1053"/>
      <c r="L196" s="1053"/>
      <c r="M196" s="1053"/>
      <c r="N196" s="1053"/>
      <c r="O196" s="1053"/>
      <c r="P196" s="1053"/>
      <c r="Q196" s="1053"/>
      <c r="R196" s="1053"/>
      <c r="S196" s="1053"/>
    </row>
    <row r="197" spans="1:19">
      <c r="A197" s="1063"/>
      <c r="B197" s="1043"/>
      <c r="C197" s="1053"/>
      <c r="D197" s="1053"/>
      <c r="E197" s="1053"/>
      <c r="F197" s="1053"/>
      <c r="G197" s="1053"/>
      <c r="H197" s="1053"/>
      <c r="I197" s="1053"/>
      <c r="J197" s="1053"/>
      <c r="K197" s="1053"/>
      <c r="L197" s="1053"/>
      <c r="M197" s="1053"/>
      <c r="N197" s="1053"/>
      <c r="O197" s="1053"/>
      <c r="P197" s="1053"/>
      <c r="Q197" s="1053"/>
      <c r="R197" s="1053"/>
      <c r="S197" s="1053"/>
    </row>
    <row r="198" spans="1:19">
      <c r="A198" s="1063">
        <f>+A196+1</f>
        <v>15</v>
      </c>
      <c r="B198" s="1044" t="s">
        <v>744</v>
      </c>
      <c r="C198" s="1053"/>
      <c r="D198" s="1053"/>
      <c r="E198" s="1053"/>
      <c r="F198" s="1053"/>
      <c r="G198" s="1053"/>
      <c r="H198" s="1053"/>
      <c r="I198" s="1053"/>
      <c r="J198" s="1053"/>
      <c r="K198" s="1053"/>
      <c r="L198" s="1053"/>
      <c r="M198" s="1053"/>
      <c r="N198" s="1053"/>
      <c r="O198" s="1053"/>
      <c r="P198" s="1053"/>
      <c r="Q198" s="1053"/>
      <c r="R198" s="1053"/>
      <c r="S198" s="1053"/>
    </row>
    <row r="199" spans="1:19">
      <c r="A199" s="1063"/>
      <c r="B199" s="1043"/>
      <c r="C199" s="1053"/>
      <c r="D199" s="1061"/>
      <c r="E199" s="1061"/>
      <c r="F199" s="1061"/>
      <c r="G199" s="1061"/>
      <c r="H199" s="1061"/>
      <c r="I199" s="1061"/>
      <c r="J199" s="1061"/>
      <c r="K199" s="1061"/>
      <c r="L199" s="1061"/>
      <c r="M199" s="1053"/>
      <c r="N199" s="1053"/>
      <c r="O199" s="1053"/>
      <c r="P199" s="1053"/>
      <c r="Q199" s="1053"/>
      <c r="R199" s="1053"/>
      <c r="S199" s="1053"/>
    </row>
    <row r="200" spans="1:19">
      <c r="A200" s="1063">
        <f>+A198+1</f>
        <v>16</v>
      </c>
      <c r="B200" s="1044" t="s">
        <v>745</v>
      </c>
      <c r="C200" s="1053"/>
      <c r="D200" s="1061"/>
      <c r="E200" s="1061"/>
      <c r="F200" s="1061"/>
      <c r="G200" s="1061"/>
      <c r="H200" s="1061"/>
      <c r="I200" s="1061"/>
      <c r="J200" s="1061"/>
      <c r="K200" s="1061"/>
      <c r="L200" s="1061"/>
      <c r="M200" s="1053"/>
      <c r="N200" s="1053"/>
      <c r="O200" s="1053"/>
      <c r="P200" s="1053"/>
      <c r="Q200" s="1053"/>
      <c r="R200" s="1053"/>
      <c r="S200" s="1053"/>
    </row>
    <row r="201" spans="1:19">
      <c r="A201" s="1063"/>
      <c r="B201" s="1043"/>
      <c r="C201" s="1053"/>
      <c r="D201" s="1053"/>
      <c r="E201" s="1053"/>
      <c r="F201" s="1053"/>
      <c r="G201" s="1053"/>
      <c r="H201" s="1053"/>
      <c r="I201" s="1053"/>
      <c r="J201" s="1053"/>
      <c r="K201" s="1053"/>
      <c r="L201" s="1053"/>
      <c r="M201" s="1053"/>
      <c r="N201" s="1053"/>
      <c r="O201" s="1053"/>
      <c r="P201" s="1053"/>
      <c r="Q201" s="1053"/>
      <c r="R201" s="1053"/>
      <c r="S201" s="1053"/>
    </row>
    <row r="202" spans="1:19">
      <c r="A202" s="1063">
        <f>+A200+1</f>
        <v>17</v>
      </c>
      <c r="B202" s="244" t="s">
        <v>746</v>
      </c>
      <c r="C202" s="1053"/>
      <c r="D202" s="1053"/>
      <c r="E202" s="1053"/>
      <c r="F202" s="1053"/>
      <c r="G202" s="1053"/>
      <c r="H202" s="1053"/>
      <c r="I202" s="1053"/>
      <c r="J202" s="1053"/>
      <c r="K202" s="1053"/>
      <c r="L202" s="1053"/>
      <c r="M202" s="1053"/>
      <c r="N202" s="1053"/>
      <c r="O202" s="1053"/>
      <c r="P202" s="1053"/>
      <c r="Q202" s="1053"/>
      <c r="R202" s="1053"/>
      <c r="S202" s="1053"/>
    </row>
    <row r="203" spans="1:19">
      <c r="A203" s="1063">
        <f>A202+1</f>
        <v>18</v>
      </c>
      <c r="B203" s="244" t="s">
        <v>747</v>
      </c>
      <c r="C203" s="1053"/>
      <c r="D203" s="1053"/>
      <c r="E203" s="1053"/>
      <c r="F203" s="1053"/>
      <c r="G203" s="1053"/>
      <c r="H203" s="1053"/>
      <c r="I203" s="1053"/>
      <c r="J203" s="1053"/>
      <c r="K203" s="1053"/>
      <c r="L203" s="1053"/>
      <c r="M203" s="1053"/>
      <c r="N203" s="1053"/>
      <c r="O203" s="1053"/>
      <c r="P203" s="1053"/>
      <c r="Q203" s="851"/>
      <c r="R203" s="1053"/>
      <c r="S203" s="1053"/>
    </row>
    <row r="204" spans="1:19">
      <c r="A204" s="1083">
        <f>A203+0.01</f>
        <v>18.010000000000002</v>
      </c>
      <c r="B204" s="851" t="s">
        <v>1241</v>
      </c>
      <c r="C204" s="1053">
        <f>SUM(M204:O204)</f>
        <v>40746</v>
      </c>
      <c r="D204" s="1053">
        <f>SUM(Q204:S204)</f>
        <v>20287</v>
      </c>
      <c r="E204" s="1053"/>
      <c r="F204" s="1053"/>
      <c r="G204" s="1053">
        <f>ROUND(SUM(C204:F204)/2,0)</f>
        <v>30517</v>
      </c>
      <c r="H204" s="1053"/>
      <c r="I204" s="1053">
        <f t="shared" ref="I204:K205" si="30">(M204+Q204)/2</f>
        <v>6039</v>
      </c>
      <c r="J204" s="1053">
        <f t="shared" si="30"/>
        <v>21106</v>
      </c>
      <c r="K204" s="1053">
        <f t="shared" si="30"/>
        <v>3371.5</v>
      </c>
      <c r="L204" s="1053"/>
      <c r="M204" s="851">
        <v>8765</v>
      </c>
      <c r="N204" s="851">
        <v>26959</v>
      </c>
      <c r="O204" s="851">
        <v>5022</v>
      </c>
      <c r="P204" s="1053"/>
      <c r="Q204" s="851">
        <v>3313</v>
      </c>
      <c r="R204" s="851">
        <v>15253</v>
      </c>
      <c r="S204" s="851">
        <v>1721</v>
      </c>
    </row>
    <row r="205" spans="1:19">
      <c r="A205" s="1083">
        <f>A204+0.01</f>
        <v>18.020000000000003</v>
      </c>
      <c r="B205" s="851" t="s">
        <v>1242</v>
      </c>
      <c r="C205" s="1053">
        <f>SUM(M205:O205)</f>
        <v>809833</v>
      </c>
      <c r="D205" s="1053">
        <f>SUM(Q205:S205)</f>
        <v>959344</v>
      </c>
      <c r="E205" s="1053"/>
      <c r="F205" s="1053"/>
      <c r="G205" s="1053">
        <f>ROUND(SUM(C205:F205)/2,0)</f>
        <v>884589</v>
      </c>
      <c r="H205" s="1053"/>
      <c r="I205" s="1053">
        <f t="shared" si="30"/>
        <v>884588.5</v>
      </c>
      <c r="J205" s="1053">
        <f t="shared" si="30"/>
        <v>0</v>
      </c>
      <c r="K205" s="1053">
        <f t="shared" si="30"/>
        <v>0</v>
      </c>
      <c r="L205" s="1053"/>
      <c r="M205" s="851">
        <v>809833</v>
      </c>
      <c r="N205" s="851">
        <v>0</v>
      </c>
      <c r="O205" s="851">
        <v>0</v>
      </c>
      <c r="P205" s="1053"/>
      <c r="Q205" s="851">
        <v>959344</v>
      </c>
      <c r="R205" s="851">
        <v>0</v>
      </c>
      <c r="S205" s="851">
        <v>0</v>
      </c>
    </row>
    <row r="206" spans="1:19">
      <c r="A206" s="1063">
        <f>INT(A205)+1</f>
        <v>19</v>
      </c>
      <c r="B206" s="1044"/>
      <c r="C206" s="1053"/>
      <c r="D206" s="1053"/>
      <c r="E206" s="1053"/>
      <c r="F206" s="1053"/>
      <c r="G206" s="1053"/>
      <c r="H206" s="1053"/>
      <c r="I206" s="1053"/>
      <c r="J206" s="1053"/>
      <c r="K206" s="1053"/>
      <c r="L206" s="1053"/>
      <c r="M206" s="1053"/>
      <c r="N206" s="1053"/>
      <c r="O206" s="1053"/>
      <c r="P206" s="1053"/>
      <c r="Q206" s="1053"/>
      <c r="R206" s="1053"/>
      <c r="S206" s="1053"/>
    </row>
    <row r="207" spans="1:19">
      <c r="A207" s="1063">
        <f>A206+1</f>
        <v>20</v>
      </c>
      <c r="B207" s="244" t="s">
        <v>748</v>
      </c>
      <c r="C207" s="1055">
        <f>SUM(C204:C206)</f>
        <v>850579</v>
      </c>
      <c r="D207" s="1055">
        <f>SUM(D204:D206)</f>
        <v>979631</v>
      </c>
      <c r="E207" s="1055">
        <f>SUM(E204:E206)</f>
        <v>0</v>
      </c>
      <c r="F207" s="1055">
        <f>SUM(F204:F206)</f>
        <v>0</v>
      </c>
      <c r="G207" s="1055">
        <f>SUM(G204:G206)</f>
        <v>915106</v>
      </c>
      <c r="H207" s="1053"/>
      <c r="I207" s="1055">
        <f>SUM(I204:I206)</f>
        <v>890627.5</v>
      </c>
      <c r="J207" s="1055">
        <f>SUM(J204:J206)</f>
        <v>21106</v>
      </c>
      <c r="K207" s="1055">
        <f>SUM(K204:K206)</f>
        <v>3371.5</v>
      </c>
      <c r="L207" s="1053"/>
      <c r="M207" s="1055">
        <f>SUM(M204:M206)</f>
        <v>818598</v>
      </c>
      <c r="N207" s="1055">
        <f>SUM(N204:N206)</f>
        <v>26959</v>
      </c>
      <c r="O207" s="1055">
        <f>SUM(O204:O206)</f>
        <v>5022</v>
      </c>
      <c r="P207" s="1053"/>
      <c r="Q207" s="1055">
        <f>SUM(Q204:Q206)</f>
        <v>962657</v>
      </c>
      <c r="R207" s="1055">
        <f>SUM(R204:R206)</f>
        <v>15253</v>
      </c>
      <c r="S207" s="1055">
        <f>SUM(S204:S206)</f>
        <v>1721</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7"/>
  <sheetViews>
    <sheetView view="pageBreakPreview" topLeftCell="A85" zoomScale="85" zoomScaleNormal="100" zoomScaleSheetLayoutView="85" workbookViewId="0">
      <selection activeCell="K111" sqref="K111"/>
    </sheetView>
  </sheetViews>
  <sheetFormatPr defaultRowHeight="12.75"/>
  <cols>
    <col min="1" max="1" width="6" customWidth="1"/>
    <col min="2" max="2" width="54.5703125" bestFit="1" customWidth="1"/>
    <col min="3" max="3" width="13.42578125" bestFit="1" customWidth="1"/>
    <col min="4" max="4" width="12.85546875" bestFit="1" customWidth="1"/>
    <col min="5" max="6" width="17" customWidth="1"/>
    <col min="7" max="7" width="15.42578125" bestFit="1" customWidth="1"/>
    <col min="8" max="8" width="2.5703125" customWidth="1"/>
    <col min="9" max="9" width="13.140625" bestFit="1" customWidth="1"/>
    <col min="10" max="10" width="15" bestFit="1" customWidth="1"/>
    <col min="11" max="11" width="13.5703125" bestFit="1" customWidth="1"/>
    <col min="12" max="12" width="2.85546875" customWidth="1"/>
    <col min="13" max="13" width="13.140625" bestFit="1" customWidth="1"/>
    <col min="14" max="14" width="15" bestFit="1" customWidth="1"/>
    <col min="15" max="15" width="13.5703125" bestFit="1" customWidth="1"/>
    <col min="16" max="16" width="2.85546875" customWidth="1"/>
    <col min="17" max="17" width="13.140625" bestFit="1" customWidth="1"/>
    <col min="18" max="18" width="15" bestFit="1" customWidth="1"/>
    <col min="19" max="19" width="13.5703125" bestFit="1" customWidth="1"/>
  </cols>
  <sheetData>
    <row r="1" spans="1:19">
      <c r="A1" s="1064"/>
      <c r="B1" s="1122" t="str">
        <f>TCOS!F9</f>
        <v>Appalachian Power Company</v>
      </c>
      <c r="C1" s="1065"/>
      <c r="D1" s="1065"/>
      <c r="E1" s="1065"/>
      <c r="F1" s="1043"/>
      <c r="G1" s="244"/>
      <c r="H1" s="244"/>
      <c r="I1" s="244"/>
      <c r="J1" s="244"/>
      <c r="K1" s="244"/>
      <c r="L1" s="244"/>
      <c r="M1" s="1043"/>
      <c r="N1" s="1043"/>
      <c r="O1" s="244"/>
      <c r="P1" s="1043"/>
      <c r="Q1" s="1043"/>
      <c r="R1" s="1043"/>
      <c r="S1" s="244"/>
    </row>
    <row r="2" spans="1:19">
      <c r="A2" s="1064"/>
      <c r="B2" s="1042" t="s">
        <v>838</v>
      </c>
      <c r="C2" s="1065"/>
      <c r="D2" s="1065"/>
      <c r="E2" s="1065"/>
      <c r="F2" s="1065"/>
      <c r="G2" s="1066"/>
      <c r="H2" s="1066"/>
      <c r="I2" s="1066"/>
      <c r="J2" s="1066"/>
      <c r="K2" s="1066"/>
      <c r="L2" s="1066"/>
      <c r="M2" s="1043"/>
      <c r="N2" s="1043"/>
      <c r="O2" s="1066"/>
      <c r="P2" s="1043"/>
      <c r="Q2" s="1043"/>
      <c r="R2" s="1043"/>
      <c r="S2" s="1066"/>
    </row>
    <row r="3" spans="1:19">
      <c r="A3" s="1064"/>
      <c r="B3" s="1042" t="str">
        <f>"PERIOD ENDED DECEMBER 31, "&amp;TCOS!L4</f>
        <v>PERIOD ENDED DECEMBER 31, 2018</v>
      </c>
      <c r="C3" s="1065"/>
      <c r="D3" s="1065"/>
      <c r="E3" s="1065"/>
      <c r="F3" s="1065"/>
      <c r="G3" s="1065"/>
      <c r="H3" s="1065"/>
      <c r="I3" s="1065"/>
      <c r="J3" s="1065"/>
      <c r="K3" s="1065"/>
      <c r="L3" s="1065"/>
      <c r="M3" s="1043"/>
      <c r="N3" s="1043"/>
      <c r="O3" s="1043"/>
      <c r="P3" s="1043"/>
      <c r="Q3" s="1043"/>
      <c r="R3" s="1043"/>
      <c r="S3" s="1043"/>
    </row>
    <row r="4" spans="1:19">
      <c r="A4" s="1064"/>
      <c r="B4" s="1052"/>
      <c r="C4" s="1065"/>
      <c r="D4" s="1065"/>
      <c r="E4" s="1065"/>
      <c r="F4" s="1065"/>
      <c r="G4" s="1" t="s">
        <v>749</v>
      </c>
      <c r="H4" s="1065"/>
      <c r="I4" s="1065"/>
      <c r="J4" s="1065"/>
      <c r="K4" s="1065"/>
      <c r="L4" s="1065"/>
      <c r="M4" s="1043"/>
      <c r="N4" s="1043"/>
      <c r="O4" s="1043"/>
      <c r="P4" s="1043"/>
      <c r="Q4" s="1043"/>
      <c r="R4" s="1043"/>
      <c r="S4" s="1043"/>
    </row>
    <row r="5" spans="1:19">
      <c r="A5" s="1064"/>
      <c r="B5" s="1045"/>
      <c r="C5" s="1065"/>
      <c r="D5" s="1065"/>
      <c r="E5" s="1065"/>
      <c r="F5" s="1065"/>
      <c r="G5" s="1065"/>
      <c r="H5" s="1065"/>
      <c r="I5" s="1065"/>
      <c r="J5" s="1065"/>
      <c r="K5" s="1065"/>
      <c r="L5" s="1065"/>
      <c r="M5" s="1043"/>
      <c r="N5" s="1043"/>
      <c r="O5" s="1043"/>
      <c r="P5" s="1043"/>
      <c r="Q5" s="1043"/>
      <c r="R5" s="1043"/>
      <c r="S5" s="1043"/>
    </row>
    <row r="6" spans="1:19">
      <c r="A6" s="1064"/>
      <c r="B6" s="1043"/>
      <c r="C6" s="1065"/>
      <c r="D6" s="1065"/>
      <c r="E6" s="1065"/>
      <c r="F6" s="1065"/>
      <c r="G6" s="1065"/>
      <c r="H6" s="1"/>
      <c r="I6" s="1"/>
      <c r="J6" s="1"/>
      <c r="K6" s="1"/>
      <c r="L6" s="1"/>
      <c r="M6" s="1043"/>
      <c r="N6" s="1043"/>
      <c r="O6" s="1043"/>
      <c r="P6" s="1043"/>
      <c r="Q6" s="1043"/>
      <c r="R6" s="1043"/>
      <c r="S6" s="1043"/>
    </row>
    <row r="7" spans="1:19">
      <c r="A7" s="1064"/>
      <c r="B7" s="1043"/>
      <c r="C7" s="1065"/>
      <c r="D7" s="1065"/>
      <c r="E7" s="1065"/>
      <c r="F7" s="1065"/>
      <c r="G7" s="1065"/>
      <c r="H7" s="1065"/>
      <c r="I7" s="1065"/>
      <c r="J7" s="1065"/>
      <c r="K7" s="1065"/>
      <c r="L7" s="1065"/>
      <c r="M7" s="1043"/>
      <c r="N7" s="1043"/>
      <c r="O7" s="1043"/>
      <c r="P7" s="1043"/>
      <c r="Q7" s="1043"/>
      <c r="R7" s="1043"/>
      <c r="S7" s="1043"/>
    </row>
    <row r="8" spans="1:19">
      <c r="A8" s="1064"/>
      <c r="B8" s="1046" t="s">
        <v>709</v>
      </c>
      <c r="C8" s="1067" t="s">
        <v>710</v>
      </c>
      <c r="D8" s="1067" t="s">
        <v>711</v>
      </c>
      <c r="E8" s="1067" t="s">
        <v>712</v>
      </c>
      <c r="F8" s="1067" t="s">
        <v>713</v>
      </c>
      <c r="G8" s="1067" t="s">
        <v>714</v>
      </c>
      <c r="H8" s="1067"/>
      <c r="I8" s="1067" t="s">
        <v>715</v>
      </c>
      <c r="J8" s="1067" t="s">
        <v>716</v>
      </c>
      <c r="K8" s="1067" t="s">
        <v>717</v>
      </c>
      <c r="L8" s="1067"/>
      <c r="M8" s="1046" t="s">
        <v>718</v>
      </c>
      <c r="N8" s="1046" t="s">
        <v>719</v>
      </c>
      <c r="O8" s="1046" t="s">
        <v>720</v>
      </c>
      <c r="P8" s="1043"/>
      <c r="Q8" s="1046" t="s">
        <v>721</v>
      </c>
      <c r="R8" s="1046" t="s">
        <v>722</v>
      </c>
      <c r="S8" s="1046" t="s">
        <v>723</v>
      </c>
    </row>
    <row r="9" spans="1:19">
      <c r="A9" s="1064"/>
      <c r="B9" s="1043"/>
      <c r="C9" s="1065"/>
      <c r="D9" s="1065"/>
      <c r="E9" s="1065"/>
      <c r="F9" s="1065"/>
      <c r="G9" s="1065"/>
      <c r="H9" s="1065"/>
      <c r="I9" s="1065"/>
      <c r="J9" s="1065"/>
      <c r="K9" s="1065"/>
      <c r="L9" s="1065"/>
      <c r="M9" s="1043"/>
      <c r="N9" s="1043"/>
      <c r="O9" s="1043"/>
      <c r="P9" s="1043"/>
      <c r="Q9" s="1043"/>
      <c r="R9" s="1043"/>
      <c r="S9" s="1043"/>
    </row>
    <row r="10" spans="1:19">
      <c r="A10" s="1064"/>
      <c r="B10" s="1043"/>
      <c r="C10" s="1068" t="s">
        <v>724</v>
      </c>
      <c r="D10" s="1068"/>
      <c r="E10" s="1069" t="s">
        <v>725</v>
      </c>
      <c r="F10" s="1068"/>
      <c r="G10" s="1070" t="s">
        <v>726</v>
      </c>
      <c r="H10" s="1070"/>
      <c r="I10" s="1071" t="s">
        <v>727</v>
      </c>
      <c r="J10" s="1068"/>
      <c r="K10" s="1068"/>
      <c r="L10" s="1070"/>
      <c r="M10" s="1050" t="str">
        <f>"FUNCTIONALIZATION 12/31/"&amp;TCOS!L4-1</f>
        <v>FUNCTIONALIZATION 12/31/2017</v>
      </c>
      <c r="N10" s="1047"/>
      <c r="O10" s="1047"/>
      <c r="P10" s="1043"/>
      <c r="Q10" s="1050" t="str">
        <f>"FUNCTIONALIZATION 12/31/"&amp;TCOS!L4</f>
        <v>FUNCTIONALIZATION 12/31/2018</v>
      </c>
      <c r="R10" s="1047"/>
      <c r="S10" s="1047"/>
    </row>
    <row r="11" spans="1:19">
      <c r="A11" s="1064"/>
      <c r="B11" s="1043"/>
      <c r="C11" s="1072"/>
      <c r="D11" s="1072"/>
      <c r="E11" s="1065"/>
      <c r="F11" s="1065"/>
      <c r="G11" s="1070" t="s">
        <v>728</v>
      </c>
      <c r="H11" s="1070"/>
      <c r="I11" s="1072"/>
      <c r="J11" s="1072"/>
      <c r="K11" s="1072"/>
      <c r="L11" s="1070"/>
      <c r="M11" s="1051"/>
      <c r="N11" s="1051"/>
      <c r="O11" s="1051"/>
      <c r="P11" s="1043"/>
      <c r="Q11" s="1051"/>
      <c r="R11" s="1051"/>
      <c r="S11" s="1051"/>
    </row>
    <row r="12" spans="1:19">
      <c r="A12" s="1064"/>
      <c r="B12" s="1043"/>
      <c r="C12" s="1070" t="s">
        <v>729</v>
      </c>
      <c r="D12" s="1070" t="s">
        <v>729</v>
      </c>
      <c r="E12" s="1070" t="s">
        <v>729</v>
      </c>
      <c r="F12" s="1070" t="s">
        <v>729</v>
      </c>
      <c r="G12" s="1070" t="s">
        <v>730</v>
      </c>
      <c r="H12" s="1070"/>
      <c r="I12" s="1065"/>
      <c r="J12" s="1065"/>
      <c r="K12" s="1065"/>
      <c r="L12" s="1070"/>
      <c r="M12" s="1043"/>
      <c r="N12" s="1043"/>
      <c r="O12" s="1043"/>
      <c r="P12" s="1043"/>
      <c r="Q12" s="1043"/>
      <c r="R12" s="1043"/>
      <c r="S12" s="1043"/>
    </row>
    <row r="13" spans="1:19">
      <c r="A13" s="1064"/>
      <c r="B13" s="1046" t="s">
        <v>731</v>
      </c>
      <c r="C13" s="1067" t="str">
        <f>"OF 12-31-"&amp;TCOS!L4-1</f>
        <v>OF 12-31-2017</v>
      </c>
      <c r="D13" s="1067" t="str">
        <f>"OF 12-31-"&amp;TCOS!L4</f>
        <v>OF 12-31-2018</v>
      </c>
      <c r="E13" s="1067" t="str">
        <f>"OF 12-31-"&amp;TCOS!L4-1</f>
        <v>OF 12-31-2017</v>
      </c>
      <c r="F13" s="1067" t="str">
        <f>"OF 12-31-"&amp;TCOS!L4</f>
        <v>OF 12-31-2018</v>
      </c>
      <c r="G13" s="1067" t="s">
        <v>732</v>
      </c>
      <c r="H13" s="1067"/>
      <c r="I13" s="1067" t="s">
        <v>733</v>
      </c>
      <c r="J13" s="1067" t="s">
        <v>734</v>
      </c>
      <c r="K13" s="1067" t="s">
        <v>735</v>
      </c>
      <c r="L13" s="1067"/>
      <c r="M13" s="1046" t="s">
        <v>733</v>
      </c>
      <c r="N13" s="1046" t="s">
        <v>734</v>
      </c>
      <c r="O13" s="1046" t="s">
        <v>735</v>
      </c>
      <c r="P13" s="1043"/>
      <c r="Q13" s="1046" t="s">
        <v>733</v>
      </c>
      <c r="R13" s="1046" t="s">
        <v>734</v>
      </c>
      <c r="S13" s="1046" t="s">
        <v>735</v>
      </c>
    </row>
    <row r="14" spans="1:19">
      <c r="A14" s="1064"/>
      <c r="B14" s="1043"/>
      <c r="C14" s="1065"/>
      <c r="D14" s="1065"/>
      <c r="E14" s="1065"/>
      <c r="F14" s="1065"/>
      <c r="G14" s="1065"/>
      <c r="H14" s="1065"/>
      <c r="I14" s="1065"/>
      <c r="J14" s="1065"/>
      <c r="K14" s="1065"/>
      <c r="L14" s="1065"/>
      <c r="M14" s="1043"/>
      <c r="N14" s="1043"/>
      <c r="O14" s="1043"/>
      <c r="P14" s="1043"/>
      <c r="Q14" s="1043"/>
      <c r="R14" s="1043"/>
      <c r="S14" s="1043"/>
    </row>
    <row r="15" spans="1:19">
      <c r="A15" s="1073">
        <v>1</v>
      </c>
      <c r="B15" s="1058" t="s">
        <v>750</v>
      </c>
      <c r="C15" s="1053"/>
      <c r="D15" s="1053"/>
      <c r="E15" s="1053"/>
      <c r="F15" s="1054"/>
      <c r="G15" s="1053"/>
      <c r="H15" s="1053"/>
      <c r="I15" s="1053"/>
      <c r="J15" s="1053"/>
      <c r="K15" s="1053"/>
      <c r="L15" s="1053"/>
      <c r="M15" s="1053"/>
      <c r="N15" s="1053"/>
      <c r="O15" s="1053"/>
      <c r="P15" s="1053"/>
      <c r="Q15" s="1053"/>
      <c r="R15" s="1053"/>
      <c r="S15" s="1053"/>
    </row>
    <row r="16" spans="1:19">
      <c r="A16" s="1073"/>
      <c r="B16" s="1053"/>
      <c r="C16" s="1053"/>
      <c r="D16" s="1053"/>
      <c r="E16" s="1053"/>
      <c r="F16" s="1053"/>
      <c r="G16" s="1053"/>
      <c r="H16" s="1053"/>
      <c r="I16" s="1053"/>
      <c r="J16" s="1053"/>
      <c r="K16" s="1053"/>
      <c r="L16" s="1053"/>
      <c r="M16" s="1053"/>
      <c r="N16" s="1053"/>
      <c r="O16" s="1053"/>
      <c r="P16" s="1053"/>
      <c r="Q16" s="1053"/>
      <c r="R16" s="1053"/>
      <c r="S16" s="1053"/>
    </row>
    <row r="17" spans="1:19">
      <c r="A17" s="1083">
        <v>2.0099999999999998</v>
      </c>
      <c r="B17" s="851" t="s">
        <v>1243</v>
      </c>
      <c r="C17" s="1053">
        <f t="shared" ref="C17:C80" si="0">SUM(M17:O17)</f>
        <v>9000166.75</v>
      </c>
      <c r="D17" s="1053">
        <f t="shared" ref="D17:D80" si="1">SUM(Q17:S17)</f>
        <v>176447.84</v>
      </c>
      <c r="E17" s="1053"/>
      <c r="F17" s="1053"/>
      <c r="G17" s="1053">
        <f t="shared" ref="G17:G80" si="2">ROUND(SUM(C17:F17)/2,0)</f>
        <v>4588307</v>
      </c>
      <c r="H17" s="1053"/>
      <c r="I17" s="1053">
        <f t="shared" ref="I17:K48" si="3">(M17+Q17)/2</f>
        <v>4154381.5</v>
      </c>
      <c r="J17" s="1053">
        <f t="shared" si="3"/>
        <v>21922.5</v>
      </c>
      <c r="K17" s="1053">
        <f t="shared" si="3"/>
        <v>412003.29499999998</v>
      </c>
      <c r="L17" s="1053"/>
      <c r="M17" s="851">
        <v>8138171</v>
      </c>
      <c r="N17" s="851">
        <v>43845</v>
      </c>
      <c r="O17" s="851">
        <v>818150.75</v>
      </c>
      <c r="P17" s="1053"/>
      <c r="Q17" s="851">
        <v>170592</v>
      </c>
      <c r="R17" s="851">
        <v>0</v>
      </c>
      <c r="S17" s="851">
        <v>5855.8399999999911</v>
      </c>
    </row>
    <row r="18" spans="1:19">
      <c r="A18" s="1083">
        <f>A17+0.01</f>
        <v>2.0199999999999996</v>
      </c>
      <c r="B18" s="851" t="s">
        <v>1095</v>
      </c>
      <c r="C18" s="1053">
        <f t="shared" si="0"/>
        <v>0</v>
      </c>
      <c r="D18" s="1053">
        <f t="shared" si="1"/>
        <v>0</v>
      </c>
      <c r="E18" s="1053"/>
      <c r="F18" s="1053"/>
      <c r="G18" s="1053">
        <f t="shared" si="2"/>
        <v>0</v>
      </c>
      <c r="H18" s="1053"/>
      <c r="I18" s="1053">
        <f t="shared" si="3"/>
        <v>0</v>
      </c>
      <c r="J18" s="1053">
        <f t="shared" si="3"/>
        <v>0</v>
      </c>
      <c r="K18" s="1053">
        <f t="shared" si="3"/>
        <v>0</v>
      </c>
      <c r="L18" s="1053"/>
      <c r="M18" s="851">
        <v>0</v>
      </c>
      <c r="N18" s="851">
        <v>0</v>
      </c>
      <c r="O18" s="851">
        <v>0</v>
      </c>
      <c r="P18" s="1053"/>
      <c r="Q18" s="851">
        <v>0</v>
      </c>
      <c r="R18" s="851">
        <v>0</v>
      </c>
      <c r="S18" s="851">
        <v>0</v>
      </c>
    </row>
    <row r="19" spans="1:19">
      <c r="A19" s="1083">
        <f t="shared" ref="A19:A82" si="4">A18+0.01</f>
        <v>2.0299999999999994</v>
      </c>
      <c r="B19" s="851" t="s">
        <v>1244</v>
      </c>
      <c r="C19" s="1053">
        <f t="shared" si="0"/>
        <v>79113241.269999996</v>
      </c>
      <c r="D19" s="1053">
        <f t="shared" si="1"/>
        <v>49068999.649999999</v>
      </c>
      <c r="E19" s="1053"/>
      <c r="F19" s="1053"/>
      <c r="G19" s="1053">
        <f t="shared" si="2"/>
        <v>64091120</v>
      </c>
      <c r="H19" s="1053"/>
      <c r="I19" s="1053">
        <f t="shared" si="3"/>
        <v>39864570.609999999</v>
      </c>
      <c r="J19" s="1053">
        <f t="shared" si="3"/>
        <v>19942837.115000002</v>
      </c>
      <c r="K19" s="1053">
        <f t="shared" si="3"/>
        <v>4283712.7349999994</v>
      </c>
      <c r="L19" s="1053"/>
      <c r="M19" s="851">
        <v>50423255.480000004</v>
      </c>
      <c r="N19" s="851">
        <v>23559648.210000001</v>
      </c>
      <c r="O19" s="851">
        <v>5130337.58</v>
      </c>
      <c r="P19" s="1053"/>
      <c r="Q19" s="851">
        <v>29305885.739999998</v>
      </c>
      <c r="R19" s="851">
        <v>16326026.02</v>
      </c>
      <c r="S19" s="851">
        <v>3437087.8899999997</v>
      </c>
    </row>
    <row r="20" spans="1:19">
      <c r="A20" s="1083">
        <f t="shared" si="4"/>
        <v>2.0399999999999991</v>
      </c>
      <c r="B20" s="851" t="s">
        <v>1245</v>
      </c>
      <c r="C20" s="1053">
        <f t="shared" si="0"/>
        <v>0</v>
      </c>
      <c r="D20" s="1053">
        <f t="shared" si="1"/>
        <v>0</v>
      </c>
      <c r="E20" s="1053"/>
      <c r="F20" s="1053"/>
      <c r="G20" s="1053">
        <f t="shared" si="2"/>
        <v>0</v>
      </c>
      <c r="H20" s="1053"/>
      <c r="I20" s="1053">
        <f t="shared" si="3"/>
        <v>0</v>
      </c>
      <c r="J20" s="1053">
        <f t="shared" si="3"/>
        <v>0</v>
      </c>
      <c r="K20" s="1053">
        <f t="shared" si="3"/>
        <v>0</v>
      </c>
      <c r="L20" s="1053"/>
      <c r="M20" s="851">
        <v>0</v>
      </c>
      <c r="N20" s="851">
        <v>0</v>
      </c>
      <c r="O20" s="851">
        <v>0</v>
      </c>
      <c r="P20" s="1053"/>
      <c r="Q20" s="851">
        <v>0</v>
      </c>
      <c r="R20" s="851">
        <v>0</v>
      </c>
      <c r="S20" s="851">
        <v>0</v>
      </c>
    </row>
    <row r="21" spans="1:19">
      <c r="A21" s="1083">
        <f t="shared" si="4"/>
        <v>2.0499999999999989</v>
      </c>
      <c r="B21" s="851" t="s">
        <v>1246</v>
      </c>
      <c r="C21" s="1053">
        <f t="shared" si="0"/>
        <v>5173841.75</v>
      </c>
      <c r="D21" s="1053">
        <f t="shared" si="1"/>
        <v>3418546.1799999997</v>
      </c>
      <c r="E21" s="1053"/>
      <c r="F21" s="1053"/>
      <c r="G21" s="1053">
        <f t="shared" si="2"/>
        <v>4296194</v>
      </c>
      <c r="H21" s="1053"/>
      <c r="I21" s="1053">
        <f t="shared" si="3"/>
        <v>0</v>
      </c>
      <c r="J21" s="1053">
        <f t="shared" si="3"/>
        <v>103823.56</v>
      </c>
      <c r="K21" s="1053">
        <f t="shared" si="3"/>
        <v>4192370.4050000003</v>
      </c>
      <c r="L21" s="1053"/>
      <c r="M21" s="851">
        <v>0</v>
      </c>
      <c r="N21" s="851">
        <v>133908.04999999999</v>
      </c>
      <c r="O21" s="851">
        <v>5039933.7</v>
      </c>
      <c r="P21" s="1053"/>
      <c r="Q21" s="851">
        <v>0</v>
      </c>
      <c r="R21" s="851">
        <v>73739.070000000007</v>
      </c>
      <c r="S21" s="851">
        <v>3344807.11</v>
      </c>
    </row>
    <row r="22" spans="1:19">
      <c r="A22" s="1083">
        <f t="shared" si="4"/>
        <v>2.0599999999999987</v>
      </c>
      <c r="B22" s="851" t="s">
        <v>1247</v>
      </c>
      <c r="C22" s="1053">
        <f t="shared" si="0"/>
        <v>337274.17</v>
      </c>
      <c r="D22" s="1053">
        <f t="shared" si="1"/>
        <v>178224.37</v>
      </c>
      <c r="E22" s="1053"/>
      <c r="F22" s="1053"/>
      <c r="G22" s="1053">
        <f t="shared" si="2"/>
        <v>257749</v>
      </c>
      <c r="H22" s="1053"/>
      <c r="I22" s="1053">
        <f t="shared" si="3"/>
        <v>0</v>
      </c>
      <c r="J22" s="1053">
        <f t="shared" si="3"/>
        <v>257749.27</v>
      </c>
      <c r="K22" s="1053">
        <f t="shared" si="3"/>
        <v>0</v>
      </c>
      <c r="L22" s="1053"/>
      <c r="M22" s="851">
        <v>0</v>
      </c>
      <c r="N22" s="851">
        <v>337274.17</v>
      </c>
      <c r="O22" s="851">
        <v>0</v>
      </c>
      <c r="P22" s="1053"/>
      <c r="Q22" s="851">
        <v>0</v>
      </c>
      <c r="R22" s="851">
        <v>178224.37</v>
      </c>
      <c r="S22" s="851">
        <v>0</v>
      </c>
    </row>
    <row r="23" spans="1:19">
      <c r="A23" s="1083">
        <f t="shared" si="4"/>
        <v>2.0699999999999985</v>
      </c>
      <c r="B23" s="851" t="s">
        <v>1248</v>
      </c>
      <c r="C23" s="1053">
        <f t="shared" si="0"/>
        <v>2636607.98</v>
      </c>
      <c r="D23" s="1053">
        <f t="shared" si="1"/>
        <v>2249001.98</v>
      </c>
      <c r="E23" s="1053"/>
      <c r="F23" s="1053"/>
      <c r="G23" s="1053">
        <f t="shared" si="2"/>
        <v>2442805</v>
      </c>
      <c r="H23" s="1053"/>
      <c r="I23" s="1053">
        <f t="shared" si="3"/>
        <v>0</v>
      </c>
      <c r="J23" s="1053">
        <f t="shared" si="3"/>
        <v>114694.25</v>
      </c>
      <c r="K23" s="1053">
        <f t="shared" si="3"/>
        <v>2328110.73</v>
      </c>
      <c r="L23" s="1053"/>
      <c r="M23" s="851">
        <v>0</v>
      </c>
      <c r="N23" s="851">
        <v>100709.2</v>
      </c>
      <c r="O23" s="851">
        <v>2535898.7799999998</v>
      </c>
      <c r="P23" s="1053"/>
      <c r="Q23" s="851">
        <v>0</v>
      </c>
      <c r="R23" s="851">
        <v>128679.3</v>
      </c>
      <c r="S23" s="851">
        <v>2120322.6800000002</v>
      </c>
    </row>
    <row r="24" spans="1:19">
      <c r="A24" s="1083">
        <f t="shared" si="4"/>
        <v>2.0799999999999983</v>
      </c>
      <c r="B24" s="851" t="s">
        <v>1249</v>
      </c>
      <c r="C24" s="1053">
        <f t="shared" si="0"/>
        <v>0</v>
      </c>
      <c r="D24" s="1053">
        <f t="shared" si="1"/>
        <v>0</v>
      </c>
      <c r="E24" s="1053"/>
      <c r="F24" s="1053"/>
      <c r="G24" s="1053">
        <f t="shared" si="2"/>
        <v>0</v>
      </c>
      <c r="H24" s="1053"/>
      <c r="I24" s="1053">
        <f t="shared" si="3"/>
        <v>0</v>
      </c>
      <c r="J24" s="1053">
        <f t="shared" si="3"/>
        <v>0</v>
      </c>
      <c r="K24" s="1053">
        <f t="shared" si="3"/>
        <v>0</v>
      </c>
      <c r="L24" s="1053"/>
      <c r="M24" s="851">
        <v>0</v>
      </c>
      <c r="N24" s="851">
        <v>0</v>
      </c>
      <c r="O24" s="851">
        <v>0</v>
      </c>
      <c r="P24" s="1053"/>
      <c r="Q24" s="851">
        <v>0</v>
      </c>
      <c r="R24" s="851">
        <v>0</v>
      </c>
      <c r="S24" s="851">
        <v>0</v>
      </c>
    </row>
    <row r="25" spans="1:19">
      <c r="A25" s="1083">
        <f t="shared" si="4"/>
        <v>2.0899999999999981</v>
      </c>
      <c r="B25" s="851" t="s">
        <v>1250</v>
      </c>
      <c r="C25" s="1053">
        <f t="shared" si="0"/>
        <v>0</v>
      </c>
      <c r="D25" s="1053">
        <f t="shared" si="1"/>
        <v>0</v>
      </c>
      <c r="E25" s="1053"/>
      <c r="F25" s="1053"/>
      <c r="G25" s="1053">
        <f t="shared" si="2"/>
        <v>0</v>
      </c>
      <c r="H25" s="1053"/>
      <c r="I25" s="1053">
        <f t="shared" si="3"/>
        <v>0</v>
      </c>
      <c r="J25" s="1053">
        <f t="shared" si="3"/>
        <v>0</v>
      </c>
      <c r="K25" s="1053">
        <f t="shared" si="3"/>
        <v>0</v>
      </c>
      <c r="L25" s="1053"/>
      <c r="M25" s="851">
        <v>0</v>
      </c>
      <c r="N25" s="851">
        <v>0</v>
      </c>
      <c r="O25" s="851">
        <v>0</v>
      </c>
      <c r="P25" s="1053"/>
      <c r="Q25" s="851">
        <v>0</v>
      </c>
      <c r="R25" s="851">
        <v>0</v>
      </c>
      <c r="S25" s="851">
        <v>0</v>
      </c>
    </row>
    <row r="26" spans="1:19">
      <c r="A26" s="1083">
        <f t="shared" si="4"/>
        <v>2.0999999999999979</v>
      </c>
      <c r="B26" s="851" t="s">
        <v>1251</v>
      </c>
      <c r="C26" s="1053">
        <f t="shared" si="0"/>
        <v>0</v>
      </c>
      <c r="D26" s="1053">
        <f t="shared" si="1"/>
        <v>0</v>
      </c>
      <c r="E26" s="1053"/>
      <c r="F26" s="1053"/>
      <c r="G26" s="1053">
        <f t="shared" si="2"/>
        <v>0</v>
      </c>
      <c r="H26" s="1053"/>
      <c r="I26" s="1053">
        <f t="shared" si="3"/>
        <v>0</v>
      </c>
      <c r="J26" s="1053">
        <f t="shared" si="3"/>
        <v>0</v>
      </c>
      <c r="K26" s="1053">
        <f t="shared" si="3"/>
        <v>0</v>
      </c>
      <c r="L26" s="1053"/>
      <c r="M26" s="851">
        <v>0</v>
      </c>
      <c r="N26" s="851">
        <v>0</v>
      </c>
      <c r="O26" s="851">
        <v>0</v>
      </c>
      <c r="P26" s="1053"/>
      <c r="Q26" s="851">
        <v>0</v>
      </c>
      <c r="R26" s="851">
        <v>0</v>
      </c>
      <c r="S26" s="851">
        <v>0</v>
      </c>
    </row>
    <row r="27" spans="1:19">
      <c r="A27" s="1083">
        <f t="shared" si="4"/>
        <v>2.1099999999999977</v>
      </c>
      <c r="B27" s="851" t="s">
        <v>1252</v>
      </c>
      <c r="C27" s="1053">
        <f t="shared" si="0"/>
        <v>6276006.9300000006</v>
      </c>
      <c r="D27" s="1053">
        <f t="shared" si="1"/>
        <v>888962.89999999991</v>
      </c>
      <c r="E27" s="1053"/>
      <c r="F27" s="1053"/>
      <c r="G27" s="1053">
        <f t="shared" si="2"/>
        <v>3582485</v>
      </c>
      <c r="H27" s="1053"/>
      <c r="I27" s="1053">
        <f t="shared" si="3"/>
        <v>364093.41499999998</v>
      </c>
      <c r="J27" s="1053">
        <f t="shared" si="3"/>
        <v>3153570.68</v>
      </c>
      <c r="K27" s="1053">
        <f t="shared" si="3"/>
        <v>64820.82</v>
      </c>
      <c r="L27" s="1053"/>
      <c r="M27" s="851">
        <v>585465.24</v>
      </c>
      <c r="N27" s="851">
        <v>5609515.6600000001</v>
      </c>
      <c r="O27" s="851">
        <v>81026.03</v>
      </c>
      <c r="P27" s="1053"/>
      <c r="Q27" s="851">
        <v>142721.59</v>
      </c>
      <c r="R27" s="851">
        <v>697625.7</v>
      </c>
      <c r="S27" s="851">
        <v>48615.61</v>
      </c>
    </row>
    <row r="28" spans="1:19">
      <c r="A28" s="1083">
        <f t="shared" si="4"/>
        <v>2.1199999999999974</v>
      </c>
      <c r="B28" s="851" t="s">
        <v>1253</v>
      </c>
      <c r="C28" s="1053">
        <f t="shared" si="0"/>
        <v>0</v>
      </c>
      <c r="D28" s="1053">
        <f t="shared" si="1"/>
        <v>8889141.6500000004</v>
      </c>
      <c r="E28" s="1053"/>
      <c r="F28" s="1053"/>
      <c r="G28" s="1053">
        <f t="shared" si="2"/>
        <v>4444571</v>
      </c>
      <c r="H28" s="1053"/>
      <c r="I28" s="1053">
        <f t="shared" si="3"/>
        <v>4444570.8250000002</v>
      </c>
      <c r="J28" s="1053">
        <f t="shared" si="3"/>
        <v>0</v>
      </c>
      <c r="K28" s="1053">
        <f t="shared" si="3"/>
        <v>0</v>
      </c>
      <c r="L28" s="1053"/>
      <c r="M28" s="851">
        <v>0</v>
      </c>
      <c r="N28" s="851">
        <v>0</v>
      </c>
      <c r="O28" s="851">
        <v>0</v>
      </c>
      <c r="P28" s="1053"/>
      <c r="Q28" s="851">
        <v>8889141.6500000004</v>
      </c>
      <c r="R28" s="851">
        <v>0</v>
      </c>
      <c r="S28" s="851">
        <v>0</v>
      </c>
    </row>
    <row r="29" spans="1:19">
      <c r="A29" s="1083">
        <f t="shared" si="4"/>
        <v>2.1299999999999972</v>
      </c>
      <c r="B29" s="851" t="s">
        <v>1254</v>
      </c>
      <c r="C29" s="1053">
        <f t="shared" si="0"/>
        <v>0</v>
      </c>
      <c r="D29" s="1053">
        <f t="shared" si="1"/>
        <v>-2435091.69</v>
      </c>
      <c r="E29" s="1053"/>
      <c r="F29" s="1053"/>
      <c r="G29" s="1053">
        <f t="shared" si="2"/>
        <v>-1217546</v>
      </c>
      <c r="H29" s="1053"/>
      <c r="I29" s="1053">
        <f t="shared" si="3"/>
        <v>-1217545.845</v>
      </c>
      <c r="J29" s="1053">
        <f t="shared" si="3"/>
        <v>0</v>
      </c>
      <c r="K29" s="1053">
        <f t="shared" si="3"/>
        <v>0</v>
      </c>
      <c r="L29" s="1053"/>
      <c r="M29" s="851">
        <v>0</v>
      </c>
      <c r="N29" s="851">
        <v>0</v>
      </c>
      <c r="O29" s="851">
        <v>0</v>
      </c>
      <c r="P29" s="1053"/>
      <c r="Q29" s="851">
        <v>-2435091.69</v>
      </c>
      <c r="R29" s="851">
        <v>0</v>
      </c>
      <c r="S29" s="851">
        <v>0</v>
      </c>
    </row>
    <row r="30" spans="1:19">
      <c r="A30" s="1083">
        <f t="shared" si="4"/>
        <v>2.139999999999997</v>
      </c>
      <c r="B30" s="851" t="s">
        <v>1255</v>
      </c>
      <c r="C30" s="1053">
        <f t="shared" si="0"/>
        <v>640.6</v>
      </c>
      <c r="D30" s="1053">
        <f t="shared" si="1"/>
        <v>576.96</v>
      </c>
      <c r="E30" s="1053"/>
      <c r="F30" s="1053"/>
      <c r="G30" s="1053">
        <f t="shared" si="2"/>
        <v>609</v>
      </c>
      <c r="H30" s="1053"/>
      <c r="I30" s="1053">
        <f t="shared" si="3"/>
        <v>0</v>
      </c>
      <c r="J30" s="1053">
        <f t="shared" si="3"/>
        <v>0</v>
      </c>
      <c r="K30" s="1053">
        <f t="shared" si="3"/>
        <v>608.78</v>
      </c>
      <c r="L30" s="1053"/>
      <c r="M30" s="851">
        <v>0</v>
      </c>
      <c r="N30" s="851">
        <v>0</v>
      </c>
      <c r="O30" s="851">
        <v>640.6</v>
      </c>
      <c r="P30" s="1053"/>
      <c r="Q30" s="851">
        <v>0</v>
      </c>
      <c r="R30" s="851">
        <v>0</v>
      </c>
      <c r="S30" s="851">
        <v>576.96</v>
      </c>
    </row>
    <row r="31" spans="1:19">
      <c r="A31" s="1083">
        <f t="shared" si="4"/>
        <v>2.1499999999999968</v>
      </c>
      <c r="B31" s="851" t="s">
        <v>1256</v>
      </c>
      <c r="C31" s="1053">
        <f t="shared" si="0"/>
        <v>0</v>
      </c>
      <c r="D31" s="1053">
        <f t="shared" si="1"/>
        <v>0</v>
      </c>
      <c r="E31" s="1053"/>
      <c r="F31" s="1053"/>
      <c r="G31" s="1053">
        <f t="shared" si="2"/>
        <v>0</v>
      </c>
      <c r="H31" s="1053"/>
      <c r="I31" s="1053">
        <f t="shared" si="3"/>
        <v>0</v>
      </c>
      <c r="J31" s="1053">
        <f t="shared" si="3"/>
        <v>0</v>
      </c>
      <c r="K31" s="1053">
        <f t="shared" si="3"/>
        <v>0</v>
      </c>
      <c r="L31" s="1053"/>
      <c r="M31" s="851">
        <v>0</v>
      </c>
      <c r="N31" s="851">
        <v>0</v>
      </c>
      <c r="O31" s="851">
        <v>0</v>
      </c>
      <c r="P31" s="1053"/>
      <c r="Q31" s="851">
        <v>0</v>
      </c>
      <c r="R31" s="851">
        <v>0</v>
      </c>
      <c r="S31" s="851">
        <v>0</v>
      </c>
    </row>
    <row r="32" spans="1:19">
      <c r="A32" s="1083">
        <f t="shared" si="4"/>
        <v>2.1599999999999966</v>
      </c>
      <c r="B32" s="851" t="s">
        <v>1257</v>
      </c>
      <c r="C32" s="1053">
        <f t="shared" si="0"/>
        <v>569903.94999999995</v>
      </c>
      <c r="D32" s="1053">
        <f t="shared" si="1"/>
        <v>19919.97</v>
      </c>
      <c r="E32" s="1053"/>
      <c r="F32" s="1053"/>
      <c r="G32" s="1053">
        <f t="shared" si="2"/>
        <v>294912</v>
      </c>
      <c r="H32" s="1053"/>
      <c r="I32" s="1053">
        <f t="shared" si="3"/>
        <v>294911.95999999996</v>
      </c>
      <c r="J32" s="1053">
        <f t="shared" si="3"/>
        <v>0</v>
      </c>
      <c r="K32" s="1053">
        <f t="shared" si="3"/>
        <v>0</v>
      </c>
      <c r="L32" s="1053"/>
      <c r="M32" s="851">
        <v>569903.94999999995</v>
      </c>
      <c r="N32" s="851">
        <v>0</v>
      </c>
      <c r="O32" s="851">
        <v>0</v>
      </c>
      <c r="P32" s="1053"/>
      <c r="Q32" s="851">
        <v>19919.97</v>
      </c>
      <c r="R32" s="851">
        <v>0</v>
      </c>
      <c r="S32" s="851">
        <v>0</v>
      </c>
    </row>
    <row r="33" spans="1:19">
      <c r="A33" s="1083">
        <f t="shared" si="4"/>
        <v>2.1699999999999964</v>
      </c>
      <c r="B33" s="851" t="s">
        <v>1258</v>
      </c>
      <c r="C33" s="1053">
        <f t="shared" si="0"/>
        <v>126149.9</v>
      </c>
      <c r="D33" s="1053">
        <f t="shared" si="1"/>
        <v>112023.95</v>
      </c>
      <c r="E33" s="1053"/>
      <c r="F33" s="1053"/>
      <c r="G33" s="1053">
        <f t="shared" si="2"/>
        <v>119087</v>
      </c>
      <c r="H33" s="1053"/>
      <c r="I33" s="1053">
        <f t="shared" si="3"/>
        <v>96803.97</v>
      </c>
      <c r="J33" s="1053">
        <f t="shared" si="3"/>
        <v>4130.7150000000001</v>
      </c>
      <c r="K33" s="1053">
        <f t="shared" si="3"/>
        <v>18152.240000000002</v>
      </c>
      <c r="L33" s="1053"/>
      <c r="M33" s="851">
        <v>95266.12</v>
      </c>
      <c r="N33" s="851">
        <v>5411.67</v>
      </c>
      <c r="O33" s="851">
        <v>25472.11</v>
      </c>
      <c r="P33" s="1053"/>
      <c r="Q33" s="851">
        <v>98341.82</v>
      </c>
      <c r="R33" s="851">
        <v>2849.76</v>
      </c>
      <c r="S33" s="851">
        <v>10832.37</v>
      </c>
    </row>
    <row r="34" spans="1:19">
      <c r="A34" s="1083">
        <f t="shared" si="4"/>
        <v>2.1799999999999962</v>
      </c>
      <c r="B34" s="851" t="s">
        <v>1259</v>
      </c>
      <c r="C34" s="1053">
        <f t="shared" si="0"/>
        <v>-58979.14</v>
      </c>
      <c r="D34" s="1053">
        <f t="shared" si="1"/>
        <v>-25984.940000000002</v>
      </c>
      <c r="E34" s="1053"/>
      <c r="F34" s="1053"/>
      <c r="G34" s="1053">
        <f t="shared" si="2"/>
        <v>-42482</v>
      </c>
      <c r="H34" s="1053"/>
      <c r="I34" s="1053">
        <f t="shared" si="3"/>
        <v>439.54999999999995</v>
      </c>
      <c r="J34" s="1053">
        <f t="shared" si="3"/>
        <v>0</v>
      </c>
      <c r="K34" s="1053">
        <f t="shared" si="3"/>
        <v>-42921.59</v>
      </c>
      <c r="L34" s="1053"/>
      <c r="M34" s="851">
        <v>489.71</v>
      </c>
      <c r="N34" s="851">
        <v>0</v>
      </c>
      <c r="O34" s="851">
        <v>-59468.85</v>
      </c>
      <c r="P34" s="1053"/>
      <c r="Q34" s="851">
        <v>389.39</v>
      </c>
      <c r="R34" s="851">
        <v>0</v>
      </c>
      <c r="S34" s="851">
        <v>-26374.33</v>
      </c>
    </row>
    <row r="35" spans="1:19">
      <c r="A35" s="1083">
        <f t="shared" si="4"/>
        <v>2.1899999999999959</v>
      </c>
      <c r="B35" s="851" t="s">
        <v>1260</v>
      </c>
      <c r="C35" s="1053">
        <f t="shared" si="0"/>
        <v>112147</v>
      </c>
      <c r="D35" s="1053">
        <f t="shared" si="1"/>
        <v>27991.949999999997</v>
      </c>
      <c r="E35" s="1053"/>
      <c r="F35" s="1053"/>
      <c r="G35" s="1053">
        <f t="shared" si="2"/>
        <v>70069</v>
      </c>
      <c r="H35" s="1053"/>
      <c r="I35" s="1053">
        <f t="shared" si="3"/>
        <v>288.82000000000005</v>
      </c>
      <c r="J35" s="1053">
        <f t="shared" si="3"/>
        <v>0</v>
      </c>
      <c r="K35" s="1053">
        <f t="shared" si="3"/>
        <v>69780.654999999999</v>
      </c>
      <c r="L35" s="1053"/>
      <c r="M35" s="851">
        <v>-480.55</v>
      </c>
      <c r="N35" s="851">
        <v>0</v>
      </c>
      <c r="O35" s="851">
        <v>112627.55</v>
      </c>
      <c r="P35" s="1053"/>
      <c r="Q35" s="851">
        <v>1058.19</v>
      </c>
      <c r="R35" s="851">
        <v>0</v>
      </c>
      <c r="S35" s="851">
        <v>26933.759999999998</v>
      </c>
    </row>
    <row r="36" spans="1:19">
      <c r="A36" s="1083">
        <f t="shared" si="4"/>
        <v>2.1999999999999957</v>
      </c>
      <c r="B36" s="851" t="s">
        <v>1261</v>
      </c>
      <c r="C36" s="1053">
        <f t="shared" si="0"/>
        <v>18790.3</v>
      </c>
      <c r="D36" s="1053">
        <f t="shared" si="1"/>
        <v>18028.939999999999</v>
      </c>
      <c r="E36" s="1053"/>
      <c r="F36" s="1053"/>
      <c r="G36" s="1053">
        <f t="shared" si="2"/>
        <v>18410</v>
      </c>
      <c r="H36" s="1053"/>
      <c r="I36" s="1053">
        <f t="shared" si="3"/>
        <v>8991.9449999999997</v>
      </c>
      <c r="J36" s="1053">
        <f t="shared" si="3"/>
        <v>0</v>
      </c>
      <c r="K36" s="1053">
        <f t="shared" si="3"/>
        <v>9417.6749999999993</v>
      </c>
      <c r="L36" s="1053"/>
      <c r="M36" s="851">
        <v>11143.36</v>
      </c>
      <c r="N36" s="851">
        <v>0</v>
      </c>
      <c r="O36" s="851">
        <v>7646.94</v>
      </c>
      <c r="P36" s="1053"/>
      <c r="Q36" s="851">
        <v>6840.53</v>
      </c>
      <c r="R36" s="851">
        <v>0</v>
      </c>
      <c r="S36" s="851">
        <v>11188.41</v>
      </c>
    </row>
    <row r="37" spans="1:19">
      <c r="A37" s="1083">
        <f t="shared" si="4"/>
        <v>2.2099999999999955</v>
      </c>
      <c r="B37" s="851" t="s">
        <v>1262</v>
      </c>
      <c r="C37" s="1053">
        <f t="shared" si="0"/>
        <v>0</v>
      </c>
      <c r="D37" s="1053">
        <f t="shared" si="1"/>
        <v>-0.01</v>
      </c>
      <c r="E37" s="1053"/>
      <c r="F37" s="1053"/>
      <c r="G37" s="1053">
        <f t="shared" si="2"/>
        <v>0</v>
      </c>
      <c r="H37" s="1053"/>
      <c r="I37" s="1053">
        <f t="shared" si="3"/>
        <v>0</v>
      </c>
      <c r="J37" s="1053">
        <f t="shared" si="3"/>
        <v>0</v>
      </c>
      <c r="K37" s="1053">
        <f t="shared" si="3"/>
        <v>-5.0000000000000001E-3</v>
      </c>
      <c r="L37" s="1053"/>
      <c r="M37" s="851">
        <v>0</v>
      </c>
      <c r="N37" s="851">
        <v>0</v>
      </c>
      <c r="O37" s="851">
        <v>0</v>
      </c>
      <c r="P37" s="1053"/>
      <c r="Q37" s="851">
        <v>0</v>
      </c>
      <c r="R37" s="851">
        <v>0</v>
      </c>
      <c r="S37" s="851">
        <v>-0.01</v>
      </c>
    </row>
    <row r="38" spans="1:19">
      <c r="A38" s="1083">
        <f t="shared" si="4"/>
        <v>2.2199999999999953</v>
      </c>
      <c r="B38" s="851" t="s">
        <v>1263</v>
      </c>
      <c r="C38" s="1053">
        <f t="shared" si="0"/>
        <v>623230.78</v>
      </c>
      <c r="D38" s="1053">
        <f t="shared" si="1"/>
        <v>200362.26</v>
      </c>
      <c r="E38" s="1053"/>
      <c r="F38" s="1053"/>
      <c r="G38" s="1053">
        <f t="shared" si="2"/>
        <v>411797</v>
      </c>
      <c r="H38" s="1053"/>
      <c r="I38" s="1053">
        <f t="shared" si="3"/>
        <v>69039.264999999999</v>
      </c>
      <c r="J38" s="1053">
        <f t="shared" si="3"/>
        <v>0</v>
      </c>
      <c r="K38" s="1053">
        <f t="shared" si="3"/>
        <v>342757.255</v>
      </c>
      <c r="L38" s="1053"/>
      <c r="M38" s="851">
        <v>106810.53</v>
      </c>
      <c r="N38" s="851">
        <v>0</v>
      </c>
      <c r="O38" s="851">
        <v>516420.25</v>
      </c>
      <c r="P38" s="1053"/>
      <c r="Q38" s="851">
        <v>31268</v>
      </c>
      <c r="R38" s="851">
        <v>0</v>
      </c>
      <c r="S38" s="851">
        <v>169094.26</v>
      </c>
    </row>
    <row r="39" spans="1:19">
      <c r="A39" s="1083">
        <f t="shared" si="4"/>
        <v>2.2299999999999951</v>
      </c>
      <c r="B39" s="851" t="s">
        <v>1264</v>
      </c>
      <c r="C39" s="1053">
        <f t="shared" si="0"/>
        <v>120284.9</v>
      </c>
      <c r="D39" s="1053">
        <f t="shared" si="1"/>
        <v>72170.94</v>
      </c>
      <c r="E39" s="1053"/>
      <c r="F39" s="1053"/>
      <c r="G39" s="1053">
        <f t="shared" si="2"/>
        <v>96228</v>
      </c>
      <c r="H39" s="1053"/>
      <c r="I39" s="1053">
        <f t="shared" si="3"/>
        <v>0</v>
      </c>
      <c r="J39" s="1053">
        <f t="shared" si="3"/>
        <v>0</v>
      </c>
      <c r="K39" s="1053">
        <f t="shared" si="3"/>
        <v>96227.92</v>
      </c>
      <c r="L39" s="1053"/>
      <c r="M39" s="851">
        <v>0</v>
      </c>
      <c r="N39" s="851">
        <v>0</v>
      </c>
      <c r="O39" s="851">
        <v>120284.9</v>
      </c>
      <c r="P39" s="1053"/>
      <c r="Q39" s="851">
        <v>0</v>
      </c>
      <c r="R39" s="851">
        <v>0</v>
      </c>
      <c r="S39" s="851">
        <v>72170.94</v>
      </c>
    </row>
    <row r="40" spans="1:19">
      <c r="A40" s="1083">
        <f t="shared" si="4"/>
        <v>2.2399999999999949</v>
      </c>
      <c r="B40" s="851" t="s">
        <v>1265</v>
      </c>
      <c r="C40" s="1053">
        <f t="shared" si="0"/>
        <v>1006306.9900000001</v>
      </c>
      <c r="D40" s="1053">
        <f t="shared" si="1"/>
        <v>179699.30000000002</v>
      </c>
      <c r="E40" s="1053"/>
      <c r="F40" s="1053"/>
      <c r="G40" s="1053">
        <f t="shared" si="2"/>
        <v>593003</v>
      </c>
      <c r="H40" s="1053"/>
      <c r="I40" s="1053">
        <f t="shared" si="3"/>
        <v>-274137.07999999996</v>
      </c>
      <c r="J40" s="1053">
        <f t="shared" si="3"/>
        <v>-2031.6100000000001</v>
      </c>
      <c r="K40" s="1053">
        <f t="shared" si="3"/>
        <v>869171.83500000008</v>
      </c>
      <c r="L40" s="1053"/>
      <c r="M40" s="851">
        <v>-342671.35</v>
      </c>
      <c r="N40" s="851">
        <v>-0.01</v>
      </c>
      <c r="O40" s="851">
        <v>1348978.35</v>
      </c>
      <c r="P40" s="1053"/>
      <c r="Q40" s="851">
        <v>-205602.81</v>
      </c>
      <c r="R40" s="851">
        <v>-4063.21</v>
      </c>
      <c r="S40" s="851">
        <v>389365.32</v>
      </c>
    </row>
    <row r="41" spans="1:19">
      <c r="A41" s="1083">
        <f t="shared" si="4"/>
        <v>2.2499999999999947</v>
      </c>
      <c r="B41" s="851" t="s">
        <v>1266</v>
      </c>
      <c r="C41" s="1053">
        <f t="shared" si="0"/>
        <v>738.15</v>
      </c>
      <c r="D41" s="1053">
        <f t="shared" si="1"/>
        <v>876.75</v>
      </c>
      <c r="E41" s="1053"/>
      <c r="F41" s="1053"/>
      <c r="G41" s="1053">
        <f t="shared" si="2"/>
        <v>807</v>
      </c>
      <c r="H41" s="1053"/>
      <c r="I41" s="1053">
        <f t="shared" si="3"/>
        <v>807.45</v>
      </c>
      <c r="J41" s="1053">
        <f t="shared" si="3"/>
        <v>0</v>
      </c>
      <c r="K41" s="1053">
        <f t="shared" si="3"/>
        <v>0</v>
      </c>
      <c r="L41" s="1053"/>
      <c r="M41" s="851">
        <v>738.15</v>
      </c>
      <c r="N41" s="851">
        <v>0</v>
      </c>
      <c r="O41" s="851">
        <v>0</v>
      </c>
      <c r="P41" s="1053"/>
      <c r="Q41" s="851">
        <v>876.75</v>
      </c>
      <c r="R41" s="851">
        <v>0</v>
      </c>
      <c r="S41" s="851">
        <v>0</v>
      </c>
    </row>
    <row r="42" spans="1:19">
      <c r="A42" s="1083">
        <f t="shared" si="4"/>
        <v>2.2599999999999945</v>
      </c>
      <c r="B42" s="851" t="s">
        <v>1267</v>
      </c>
      <c r="C42" s="1053">
        <f t="shared" si="0"/>
        <v>0.35</v>
      </c>
      <c r="D42" s="1053">
        <f t="shared" si="1"/>
        <v>0.21</v>
      </c>
      <c r="E42" s="1053"/>
      <c r="F42" s="1053"/>
      <c r="G42" s="1053">
        <f t="shared" si="2"/>
        <v>0</v>
      </c>
      <c r="H42" s="1053"/>
      <c r="I42" s="1053">
        <f t="shared" si="3"/>
        <v>0.27999999999999997</v>
      </c>
      <c r="J42" s="1053">
        <f t="shared" si="3"/>
        <v>0</v>
      </c>
      <c r="K42" s="1053">
        <f t="shared" si="3"/>
        <v>0</v>
      </c>
      <c r="L42" s="1053"/>
      <c r="M42" s="851">
        <v>0.35</v>
      </c>
      <c r="N42" s="851">
        <v>0</v>
      </c>
      <c r="O42" s="851">
        <v>0</v>
      </c>
      <c r="P42" s="1053"/>
      <c r="Q42" s="851">
        <v>0.21</v>
      </c>
      <c r="R42" s="851">
        <v>0</v>
      </c>
      <c r="S42" s="851">
        <v>0</v>
      </c>
    </row>
    <row r="43" spans="1:19">
      <c r="A43" s="1083">
        <f t="shared" si="4"/>
        <v>2.2699999999999942</v>
      </c>
      <c r="B43" s="851" t="s">
        <v>1268</v>
      </c>
      <c r="C43" s="1053">
        <f t="shared" si="0"/>
        <v>0</v>
      </c>
      <c r="D43" s="1053">
        <f t="shared" si="1"/>
        <v>0</v>
      </c>
      <c r="E43" s="1053"/>
      <c r="F43" s="1053"/>
      <c r="G43" s="1053">
        <f t="shared" si="2"/>
        <v>0</v>
      </c>
      <c r="H43" s="1053"/>
      <c r="I43" s="1053">
        <f t="shared" si="3"/>
        <v>0</v>
      </c>
      <c r="J43" s="1053">
        <f t="shared" si="3"/>
        <v>0</v>
      </c>
      <c r="K43" s="1053">
        <f t="shared" si="3"/>
        <v>0</v>
      </c>
      <c r="L43" s="1053"/>
      <c r="M43" s="851">
        <v>0</v>
      </c>
      <c r="N43" s="851">
        <v>0</v>
      </c>
      <c r="O43" s="851">
        <v>0</v>
      </c>
      <c r="P43" s="1053"/>
      <c r="Q43" s="851">
        <v>0</v>
      </c>
      <c r="R43" s="851">
        <v>0</v>
      </c>
      <c r="S43" s="851">
        <v>0</v>
      </c>
    </row>
    <row r="44" spans="1:19">
      <c r="A44" s="1083">
        <f t="shared" si="4"/>
        <v>2.279999999999994</v>
      </c>
      <c r="B44" s="851" t="s">
        <v>1269</v>
      </c>
      <c r="C44" s="1053">
        <f t="shared" si="0"/>
        <v>2568813.98</v>
      </c>
      <c r="D44" s="1053">
        <f t="shared" si="1"/>
        <v>3642367.01</v>
      </c>
      <c r="E44" s="1053"/>
      <c r="F44" s="1053"/>
      <c r="G44" s="1053">
        <f t="shared" si="2"/>
        <v>3105590</v>
      </c>
      <c r="H44" s="1053"/>
      <c r="I44" s="1053">
        <f t="shared" si="3"/>
        <v>1351146.1950000001</v>
      </c>
      <c r="J44" s="1053">
        <f t="shared" si="3"/>
        <v>110679.255</v>
      </c>
      <c r="K44" s="1053">
        <f t="shared" si="3"/>
        <v>1643765.0449999999</v>
      </c>
      <c r="L44" s="1053"/>
      <c r="M44" s="851">
        <v>1141352.29</v>
      </c>
      <c r="N44" s="851">
        <v>27791.81</v>
      </c>
      <c r="O44" s="851">
        <v>1399669.88</v>
      </c>
      <c r="P44" s="1053"/>
      <c r="Q44" s="851">
        <v>1560940.1</v>
      </c>
      <c r="R44" s="851">
        <v>193566.7</v>
      </c>
      <c r="S44" s="851">
        <v>1887860.21</v>
      </c>
    </row>
    <row r="45" spans="1:19">
      <c r="A45" s="1083">
        <f t="shared" si="4"/>
        <v>2.2899999999999938</v>
      </c>
      <c r="B45" s="851" t="s">
        <v>1270</v>
      </c>
      <c r="C45" s="1053">
        <f t="shared" si="0"/>
        <v>4200</v>
      </c>
      <c r="D45" s="1053">
        <f t="shared" si="1"/>
        <v>2520</v>
      </c>
      <c r="E45" s="1053"/>
      <c r="F45" s="1053"/>
      <c r="G45" s="1053">
        <f t="shared" si="2"/>
        <v>3360</v>
      </c>
      <c r="H45" s="1053"/>
      <c r="I45" s="1053">
        <f t="shared" si="3"/>
        <v>0</v>
      </c>
      <c r="J45" s="1053">
        <f t="shared" si="3"/>
        <v>0</v>
      </c>
      <c r="K45" s="1053">
        <f t="shared" si="3"/>
        <v>3360</v>
      </c>
      <c r="L45" s="1053"/>
      <c r="M45" s="851">
        <v>0</v>
      </c>
      <c r="N45" s="851">
        <v>0</v>
      </c>
      <c r="O45" s="851">
        <v>4200</v>
      </c>
      <c r="P45" s="1053"/>
      <c r="Q45" s="851">
        <v>0</v>
      </c>
      <c r="R45" s="851">
        <v>0</v>
      </c>
      <c r="S45" s="851">
        <v>2520</v>
      </c>
    </row>
    <row r="46" spans="1:19">
      <c r="A46" s="1083">
        <f t="shared" si="4"/>
        <v>2.2999999999999936</v>
      </c>
      <c r="B46" s="851" t="s">
        <v>1271</v>
      </c>
      <c r="C46" s="1053">
        <f t="shared" si="0"/>
        <v>3316973.13</v>
      </c>
      <c r="D46" s="1053">
        <f t="shared" si="1"/>
        <v>1922264.4499999997</v>
      </c>
      <c r="E46" s="1053"/>
      <c r="F46" s="1053"/>
      <c r="G46" s="1053">
        <f t="shared" si="2"/>
        <v>2619619</v>
      </c>
      <c r="H46" s="1053"/>
      <c r="I46" s="1053">
        <f t="shared" si="3"/>
        <v>960535.84499999997</v>
      </c>
      <c r="J46" s="1053">
        <f t="shared" si="3"/>
        <v>-71094.695000000007</v>
      </c>
      <c r="K46" s="1053">
        <f t="shared" si="3"/>
        <v>1730177.64</v>
      </c>
      <c r="L46" s="1053"/>
      <c r="M46" s="851">
        <v>1253705.3400000001</v>
      </c>
      <c r="N46" s="851">
        <v>-87467.839999999997</v>
      </c>
      <c r="O46" s="851">
        <v>2150735.63</v>
      </c>
      <c r="P46" s="1053"/>
      <c r="Q46" s="851">
        <v>667366.35</v>
      </c>
      <c r="R46" s="851">
        <v>-54721.55</v>
      </c>
      <c r="S46" s="851">
        <v>1309619.6499999999</v>
      </c>
    </row>
    <row r="47" spans="1:19">
      <c r="A47" s="1083">
        <f t="shared" si="4"/>
        <v>2.3099999999999934</v>
      </c>
      <c r="B47" s="851" t="s">
        <v>1272</v>
      </c>
      <c r="C47" s="1053">
        <f t="shared" si="0"/>
        <v>98632.48</v>
      </c>
      <c r="D47" s="1053">
        <f t="shared" si="1"/>
        <v>65488.9</v>
      </c>
      <c r="E47" s="1053"/>
      <c r="F47" s="1053"/>
      <c r="G47" s="1053">
        <f t="shared" si="2"/>
        <v>82061</v>
      </c>
      <c r="H47" s="1053"/>
      <c r="I47" s="1053">
        <f t="shared" si="3"/>
        <v>0.09</v>
      </c>
      <c r="J47" s="1053">
        <f t="shared" si="3"/>
        <v>0</v>
      </c>
      <c r="K47" s="1053">
        <f t="shared" si="3"/>
        <v>82060.600000000006</v>
      </c>
      <c r="L47" s="1053"/>
      <c r="M47" s="851">
        <v>0.11</v>
      </c>
      <c r="N47" s="851">
        <v>0</v>
      </c>
      <c r="O47" s="851">
        <v>98632.37</v>
      </c>
      <c r="P47" s="1053"/>
      <c r="Q47" s="851">
        <v>7.0000000000000007E-2</v>
      </c>
      <c r="R47" s="851">
        <v>0</v>
      </c>
      <c r="S47" s="851">
        <v>65488.83</v>
      </c>
    </row>
    <row r="48" spans="1:19">
      <c r="A48" s="1083">
        <f t="shared" si="4"/>
        <v>2.3199999999999932</v>
      </c>
      <c r="B48" s="851" t="s">
        <v>1273</v>
      </c>
      <c r="C48" s="1053">
        <f t="shared" si="0"/>
        <v>215210.3</v>
      </c>
      <c r="D48" s="1053">
        <f t="shared" si="1"/>
        <v>59808.71</v>
      </c>
      <c r="E48" s="1053"/>
      <c r="F48" s="1053"/>
      <c r="G48" s="1053">
        <f t="shared" si="2"/>
        <v>137510</v>
      </c>
      <c r="H48" s="1053"/>
      <c r="I48" s="1053">
        <f t="shared" si="3"/>
        <v>137509.505</v>
      </c>
      <c r="J48" s="1053">
        <f t="shared" si="3"/>
        <v>0</v>
      </c>
      <c r="K48" s="1053">
        <f t="shared" si="3"/>
        <v>0</v>
      </c>
      <c r="L48" s="1053"/>
      <c r="M48" s="851">
        <v>215210.3</v>
      </c>
      <c r="N48" s="851">
        <v>0</v>
      </c>
      <c r="O48" s="851">
        <v>0</v>
      </c>
      <c r="P48" s="1053"/>
      <c r="Q48" s="851">
        <v>59808.71</v>
      </c>
      <c r="R48" s="851">
        <v>0</v>
      </c>
      <c r="S48" s="851">
        <v>0</v>
      </c>
    </row>
    <row r="49" spans="1:19">
      <c r="A49" s="1083">
        <f t="shared" si="4"/>
        <v>2.329999999999993</v>
      </c>
      <c r="B49" s="851" t="s">
        <v>1274</v>
      </c>
      <c r="C49" s="1053">
        <f t="shared" si="0"/>
        <v>0</v>
      </c>
      <c r="D49" s="1053">
        <f t="shared" si="1"/>
        <v>0</v>
      </c>
      <c r="E49" s="1053"/>
      <c r="F49" s="1053"/>
      <c r="G49" s="1053">
        <f t="shared" si="2"/>
        <v>0</v>
      </c>
      <c r="H49" s="1053"/>
      <c r="I49" s="1053">
        <f t="shared" ref="I49:K80" si="5">(M49+Q49)/2</f>
        <v>0</v>
      </c>
      <c r="J49" s="1053">
        <f t="shared" si="5"/>
        <v>0</v>
      </c>
      <c r="K49" s="1053">
        <f t="shared" si="5"/>
        <v>0</v>
      </c>
      <c r="L49" s="1053"/>
      <c r="M49" s="851">
        <v>0</v>
      </c>
      <c r="N49" s="851">
        <v>0</v>
      </c>
      <c r="O49" s="851">
        <v>0</v>
      </c>
      <c r="P49" s="1053"/>
      <c r="Q49" s="851">
        <v>0</v>
      </c>
      <c r="R49" s="851">
        <v>0</v>
      </c>
      <c r="S49" s="851">
        <v>0</v>
      </c>
    </row>
    <row r="50" spans="1:19">
      <c r="A50" s="1083">
        <f t="shared" si="4"/>
        <v>2.3399999999999928</v>
      </c>
      <c r="B50" s="851" t="s">
        <v>1275</v>
      </c>
      <c r="C50" s="1053">
        <f t="shared" si="0"/>
        <v>144626.71000000002</v>
      </c>
      <c r="D50" s="1053">
        <f t="shared" si="1"/>
        <v>46899.549999999988</v>
      </c>
      <c r="E50" s="1053"/>
      <c r="F50" s="1053"/>
      <c r="G50" s="1053">
        <f t="shared" si="2"/>
        <v>95763</v>
      </c>
      <c r="H50" s="1053"/>
      <c r="I50" s="1053">
        <f t="shared" si="5"/>
        <v>47518.514999999999</v>
      </c>
      <c r="J50" s="1053">
        <f t="shared" si="5"/>
        <v>3746.2200000000012</v>
      </c>
      <c r="K50" s="1053">
        <f t="shared" si="5"/>
        <v>44498.395000000004</v>
      </c>
      <c r="L50" s="1053"/>
      <c r="M50" s="851">
        <v>49690.760000000009</v>
      </c>
      <c r="N50" s="851">
        <v>16050.600000000006</v>
      </c>
      <c r="O50" s="851">
        <v>78885.350000000006</v>
      </c>
      <c r="P50" s="1053"/>
      <c r="Q50" s="851">
        <v>45346.26999999999</v>
      </c>
      <c r="R50" s="851">
        <v>-8558.1600000000035</v>
      </c>
      <c r="S50" s="851">
        <v>10111.440000000002</v>
      </c>
    </row>
    <row r="51" spans="1:19">
      <c r="A51" s="1083">
        <f t="shared" si="4"/>
        <v>2.3499999999999925</v>
      </c>
      <c r="B51" s="851" t="s">
        <v>1276</v>
      </c>
      <c r="C51" s="1053">
        <f t="shared" si="0"/>
        <v>14490.349999999999</v>
      </c>
      <c r="D51" s="1053">
        <f t="shared" si="1"/>
        <v>10420.619999999999</v>
      </c>
      <c r="E51" s="1053"/>
      <c r="F51" s="1053"/>
      <c r="G51" s="1053">
        <f t="shared" si="2"/>
        <v>12455</v>
      </c>
      <c r="H51" s="1053"/>
      <c r="I51" s="1053">
        <f t="shared" si="5"/>
        <v>5278.2800000000007</v>
      </c>
      <c r="J51" s="1053">
        <f t="shared" si="5"/>
        <v>851.02499999999998</v>
      </c>
      <c r="K51" s="1053">
        <f t="shared" si="5"/>
        <v>6326.18</v>
      </c>
      <c r="L51" s="1053"/>
      <c r="M51" s="851">
        <v>6140.05</v>
      </c>
      <c r="N51" s="851">
        <v>990.15</v>
      </c>
      <c r="O51" s="851">
        <v>7360.15</v>
      </c>
      <c r="P51" s="1053"/>
      <c r="Q51" s="851">
        <v>4416.51</v>
      </c>
      <c r="R51" s="851">
        <v>711.9</v>
      </c>
      <c r="S51" s="851">
        <v>5292.21</v>
      </c>
    </row>
    <row r="52" spans="1:19">
      <c r="A52" s="1083">
        <f t="shared" si="4"/>
        <v>2.3599999999999923</v>
      </c>
      <c r="B52" s="851" t="s">
        <v>1277</v>
      </c>
      <c r="C52" s="1053">
        <f t="shared" si="0"/>
        <v>49457.099999999977</v>
      </c>
      <c r="D52" s="1053">
        <f t="shared" si="1"/>
        <v>29674.25999999998</v>
      </c>
      <c r="E52" s="1053"/>
      <c r="F52" s="1053"/>
      <c r="G52" s="1053">
        <f t="shared" si="2"/>
        <v>39566</v>
      </c>
      <c r="H52" s="1053"/>
      <c r="I52" s="1053">
        <f t="shared" si="5"/>
        <v>0</v>
      </c>
      <c r="J52" s="1053">
        <f t="shared" si="5"/>
        <v>-192278.8</v>
      </c>
      <c r="K52" s="1053">
        <f t="shared" si="5"/>
        <v>231844.47999999998</v>
      </c>
      <c r="L52" s="1053"/>
      <c r="M52" s="851">
        <v>0</v>
      </c>
      <c r="N52" s="851">
        <v>-240348.5</v>
      </c>
      <c r="O52" s="851">
        <v>289805.59999999998</v>
      </c>
      <c r="P52" s="1053"/>
      <c r="Q52" s="851">
        <v>0</v>
      </c>
      <c r="R52" s="851">
        <v>-144209.1</v>
      </c>
      <c r="S52" s="851">
        <v>173883.36</v>
      </c>
    </row>
    <row r="53" spans="1:19">
      <c r="A53" s="1083">
        <f t="shared" si="4"/>
        <v>2.3699999999999921</v>
      </c>
      <c r="B53" s="851" t="s">
        <v>1278</v>
      </c>
      <c r="C53" s="1053">
        <f t="shared" si="0"/>
        <v>0</v>
      </c>
      <c r="D53" s="1053">
        <f t="shared" si="1"/>
        <v>0</v>
      </c>
      <c r="E53" s="1053"/>
      <c r="F53" s="1053"/>
      <c r="G53" s="1053">
        <f t="shared" si="2"/>
        <v>0</v>
      </c>
      <c r="H53" s="1053"/>
      <c r="I53" s="1053">
        <f t="shared" si="5"/>
        <v>0</v>
      </c>
      <c r="J53" s="1053">
        <f t="shared" si="5"/>
        <v>0</v>
      </c>
      <c r="K53" s="1053">
        <f t="shared" si="5"/>
        <v>0</v>
      </c>
      <c r="L53" s="1053"/>
      <c r="M53" s="851">
        <v>0</v>
      </c>
      <c r="N53" s="851">
        <v>0</v>
      </c>
      <c r="O53" s="851">
        <v>0</v>
      </c>
      <c r="P53" s="1053"/>
      <c r="Q53" s="851">
        <v>0</v>
      </c>
      <c r="R53" s="851">
        <v>0</v>
      </c>
      <c r="S53" s="851">
        <v>0</v>
      </c>
    </row>
    <row r="54" spans="1:19">
      <c r="A54" s="1083">
        <f t="shared" si="4"/>
        <v>2.3799999999999919</v>
      </c>
      <c r="B54" s="851" t="s">
        <v>1279</v>
      </c>
      <c r="C54" s="1053">
        <f t="shared" si="0"/>
        <v>0</v>
      </c>
      <c r="D54" s="1053">
        <f t="shared" si="1"/>
        <v>0</v>
      </c>
      <c r="E54" s="1053"/>
      <c r="F54" s="1053"/>
      <c r="G54" s="1053">
        <f t="shared" si="2"/>
        <v>0</v>
      </c>
      <c r="H54" s="1053"/>
      <c r="I54" s="1053">
        <f t="shared" si="5"/>
        <v>0</v>
      </c>
      <c r="J54" s="1053">
        <f t="shared" si="5"/>
        <v>0</v>
      </c>
      <c r="K54" s="1053">
        <f t="shared" si="5"/>
        <v>0</v>
      </c>
      <c r="L54" s="1053"/>
      <c r="M54" s="851">
        <v>0</v>
      </c>
      <c r="N54" s="851">
        <v>0</v>
      </c>
      <c r="O54" s="851">
        <v>0</v>
      </c>
      <c r="P54" s="1053"/>
      <c r="Q54" s="851">
        <v>0</v>
      </c>
      <c r="R54" s="851">
        <v>0</v>
      </c>
      <c r="S54" s="851">
        <v>0</v>
      </c>
    </row>
    <row r="55" spans="1:19">
      <c r="A55" s="1083">
        <f t="shared" si="4"/>
        <v>2.3899999999999917</v>
      </c>
      <c r="B55" s="851" t="s">
        <v>1280</v>
      </c>
      <c r="C55" s="1053">
        <f t="shared" si="0"/>
        <v>182467</v>
      </c>
      <c r="D55" s="1053">
        <f t="shared" si="1"/>
        <v>109480.2</v>
      </c>
      <c r="E55" s="1053"/>
      <c r="F55" s="1053"/>
      <c r="G55" s="1053">
        <f t="shared" si="2"/>
        <v>145974</v>
      </c>
      <c r="H55" s="1053"/>
      <c r="I55" s="1053">
        <f t="shared" si="5"/>
        <v>145973.6</v>
      </c>
      <c r="J55" s="1053">
        <f t="shared" si="5"/>
        <v>0</v>
      </c>
      <c r="K55" s="1053">
        <f t="shared" si="5"/>
        <v>0</v>
      </c>
      <c r="L55" s="1053"/>
      <c r="M55" s="851">
        <v>182467</v>
      </c>
      <c r="N55" s="851">
        <v>0</v>
      </c>
      <c r="O55" s="851">
        <v>0</v>
      </c>
      <c r="P55" s="1053"/>
      <c r="Q55" s="851">
        <v>109480.2</v>
      </c>
      <c r="R55" s="851">
        <v>0</v>
      </c>
      <c r="S55" s="851">
        <v>0</v>
      </c>
    </row>
    <row r="56" spans="1:19">
      <c r="A56" s="1083">
        <f t="shared" si="4"/>
        <v>2.3999999999999915</v>
      </c>
      <c r="B56" s="851" t="s">
        <v>1281</v>
      </c>
      <c r="C56" s="1053">
        <f t="shared" si="0"/>
        <v>0</v>
      </c>
      <c r="D56" s="1053">
        <f t="shared" si="1"/>
        <v>0</v>
      </c>
      <c r="E56" s="1053"/>
      <c r="F56" s="1053"/>
      <c r="G56" s="1053">
        <f t="shared" si="2"/>
        <v>0</v>
      </c>
      <c r="H56" s="1053"/>
      <c r="I56" s="1053">
        <f t="shared" si="5"/>
        <v>0</v>
      </c>
      <c r="J56" s="1053">
        <f t="shared" si="5"/>
        <v>0</v>
      </c>
      <c r="K56" s="1053">
        <f t="shared" si="5"/>
        <v>0</v>
      </c>
      <c r="L56" s="1053"/>
      <c r="M56" s="851">
        <v>0</v>
      </c>
      <c r="N56" s="851">
        <v>0</v>
      </c>
      <c r="O56" s="851">
        <v>0</v>
      </c>
      <c r="P56" s="1053"/>
      <c r="Q56" s="851">
        <v>0</v>
      </c>
      <c r="R56" s="851">
        <v>0</v>
      </c>
      <c r="S56" s="851">
        <v>0</v>
      </c>
    </row>
    <row r="57" spans="1:19">
      <c r="A57" s="1083">
        <f t="shared" si="4"/>
        <v>2.4099999999999913</v>
      </c>
      <c r="B57" s="851" t="s">
        <v>1282</v>
      </c>
      <c r="C57" s="1053">
        <f t="shared" si="0"/>
        <v>1577478.37</v>
      </c>
      <c r="D57" s="1053">
        <f t="shared" si="1"/>
        <v>912607.3</v>
      </c>
      <c r="E57" s="1053"/>
      <c r="F57" s="1053"/>
      <c r="G57" s="1053">
        <f t="shared" si="2"/>
        <v>1245043</v>
      </c>
      <c r="H57" s="1053"/>
      <c r="I57" s="1053">
        <f t="shared" si="5"/>
        <v>1245042.835</v>
      </c>
      <c r="J57" s="1053">
        <f t="shared" si="5"/>
        <v>0</v>
      </c>
      <c r="K57" s="1053">
        <f t="shared" si="5"/>
        <v>0</v>
      </c>
      <c r="L57" s="1053"/>
      <c r="M57" s="851">
        <v>1577478.37</v>
      </c>
      <c r="N57" s="851">
        <v>0</v>
      </c>
      <c r="O57" s="851">
        <v>0</v>
      </c>
      <c r="P57" s="1053"/>
      <c r="Q57" s="851">
        <v>912607.3</v>
      </c>
      <c r="R57" s="851">
        <v>0</v>
      </c>
      <c r="S57" s="851">
        <v>0</v>
      </c>
    </row>
    <row r="58" spans="1:19">
      <c r="A58" s="1083">
        <f t="shared" si="4"/>
        <v>2.419999999999991</v>
      </c>
      <c r="B58" s="851" t="s">
        <v>1283</v>
      </c>
      <c r="C58" s="1053">
        <f t="shared" si="0"/>
        <v>-0.19</v>
      </c>
      <c r="D58" s="1053">
        <f t="shared" si="1"/>
        <v>-0.11</v>
      </c>
      <c r="E58" s="1053"/>
      <c r="F58" s="1053"/>
      <c r="G58" s="1053">
        <f t="shared" si="2"/>
        <v>0</v>
      </c>
      <c r="H58" s="1053"/>
      <c r="I58" s="1053">
        <f t="shared" si="5"/>
        <v>-0.15</v>
      </c>
      <c r="J58" s="1053">
        <f t="shared" si="5"/>
        <v>0</v>
      </c>
      <c r="K58" s="1053">
        <f t="shared" si="5"/>
        <v>0</v>
      </c>
      <c r="L58" s="1053"/>
      <c r="M58" s="851">
        <v>-0.19</v>
      </c>
      <c r="N58" s="851">
        <v>0</v>
      </c>
      <c r="O58" s="851">
        <v>0</v>
      </c>
      <c r="P58" s="1053"/>
      <c r="Q58" s="851">
        <v>-0.11</v>
      </c>
      <c r="R58" s="851">
        <v>0</v>
      </c>
      <c r="S58" s="851">
        <v>0</v>
      </c>
    </row>
    <row r="59" spans="1:19">
      <c r="A59" s="1083">
        <f t="shared" si="4"/>
        <v>2.4299999999999908</v>
      </c>
      <c r="B59" s="851" t="s">
        <v>1284</v>
      </c>
      <c r="C59" s="1053">
        <f t="shared" si="0"/>
        <v>0</v>
      </c>
      <c r="D59" s="1053">
        <f t="shared" si="1"/>
        <v>0</v>
      </c>
      <c r="E59" s="1053"/>
      <c r="F59" s="1053"/>
      <c r="G59" s="1053">
        <f t="shared" si="2"/>
        <v>0</v>
      </c>
      <c r="H59" s="1053"/>
      <c r="I59" s="1053">
        <f t="shared" si="5"/>
        <v>0</v>
      </c>
      <c r="J59" s="1053">
        <f t="shared" si="5"/>
        <v>0</v>
      </c>
      <c r="K59" s="1053">
        <f t="shared" si="5"/>
        <v>0</v>
      </c>
      <c r="L59" s="1053"/>
      <c r="M59" s="851">
        <v>0</v>
      </c>
      <c r="N59" s="851">
        <v>0</v>
      </c>
      <c r="O59" s="851">
        <v>0</v>
      </c>
      <c r="P59" s="1053"/>
      <c r="Q59" s="851">
        <v>0</v>
      </c>
      <c r="R59" s="851">
        <v>0</v>
      </c>
      <c r="S59" s="851">
        <v>0</v>
      </c>
    </row>
    <row r="60" spans="1:19">
      <c r="A60" s="1083">
        <f t="shared" si="4"/>
        <v>2.4399999999999906</v>
      </c>
      <c r="B60" s="851" t="s">
        <v>1285</v>
      </c>
      <c r="C60" s="1053">
        <f t="shared" si="0"/>
        <v>0</v>
      </c>
      <c r="D60" s="1053">
        <f t="shared" si="1"/>
        <v>0</v>
      </c>
      <c r="E60" s="1053"/>
      <c r="F60" s="1053"/>
      <c r="G60" s="1053">
        <f t="shared" si="2"/>
        <v>0</v>
      </c>
      <c r="H60" s="1053"/>
      <c r="I60" s="1053">
        <f t="shared" si="5"/>
        <v>0</v>
      </c>
      <c r="J60" s="1053">
        <f t="shared" si="5"/>
        <v>0</v>
      </c>
      <c r="K60" s="1053">
        <f t="shared" si="5"/>
        <v>0</v>
      </c>
      <c r="L60" s="1053"/>
      <c r="M60" s="851">
        <v>0</v>
      </c>
      <c r="N60" s="851">
        <v>0</v>
      </c>
      <c r="O60" s="851">
        <v>0</v>
      </c>
      <c r="P60" s="1053"/>
      <c r="Q60" s="851">
        <v>0</v>
      </c>
      <c r="R60" s="851">
        <v>0</v>
      </c>
      <c r="S60" s="851">
        <v>0</v>
      </c>
    </row>
    <row r="61" spans="1:19">
      <c r="A61" s="1083">
        <f t="shared" si="4"/>
        <v>2.4499999999999904</v>
      </c>
      <c r="B61" s="851" t="s">
        <v>1286</v>
      </c>
      <c r="C61" s="1053">
        <f t="shared" si="0"/>
        <v>269533.94</v>
      </c>
      <c r="D61" s="1053">
        <f t="shared" si="1"/>
        <v>125600.39</v>
      </c>
      <c r="E61" s="1053"/>
      <c r="F61" s="1053"/>
      <c r="G61" s="1053">
        <f t="shared" si="2"/>
        <v>197567</v>
      </c>
      <c r="H61" s="1053"/>
      <c r="I61" s="1053">
        <f t="shared" si="5"/>
        <v>0</v>
      </c>
      <c r="J61" s="1053">
        <f t="shared" si="5"/>
        <v>197567.16500000001</v>
      </c>
      <c r="K61" s="1053">
        <f t="shared" si="5"/>
        <v>0</v>
      </c>
      <c r="L61" s="1053"/>
      <c r="M61" s="851">
        <v>0</v>
      </c>
      <c r="N61" s="851">
        <v>269533.94</v>
      </c>
      <c r="O61" s="851">
        <v>0</v>
      </c>
      <c r="P61" s="1053"/>
      <c r="Q61" s="851">
        <v>0</v>
      </c>
      <c r="R61" s="851">
        <v>125600.39</v>
      </c>
      <c r="S61" s="851">
        <v>0</v>
      </c>
    </row>
    <row r="62" spans="1:19">
      <c r="A62" s="1083">
        <f t="shared" si="4"/>
        <v>2.4599999999999902</v>
      </c>
      <c r="B62" s="851" t="s">
        <v>1287</v>
      </c>
      <c r="C62" s="1053">
        <f t="shared" si="0"/>
        <v>0</v>
      </c>
      <c r="D62" s="1053">
        <f t="shared" si="1"/>
        <v>0</v>
      </c>
      <c r="E62" s="1053"/>
      <c r="F62" s="1053"/>
      <c r="G62" s="1053">
        <f t="shared" si="2"/>
        <v>0</v>
      </c>
      <c r="H62" s="1053"/>
      <c r="I62" s="1053">
        <f t="shared" si="5"/>
        <v>0</v>
      </c>
      <c r="J62" s="1053">
        <f t="shared" si="5"/>
        <v>0</v>
      </c>
      <c r="K62" s="1053">
        <f t="shared" si="5"/>
        <v>0</v>
      </c>
      <c r="L62" s="1053"/>
      <c r="M62" s="851">
        <v>0</v>
      </c>
      <c r="N62" s="851">
        <v>0</v>
      </c>
      <c r="O62" s="851">
        <v>0</v>
      </c>
      <c r="P62" s="1053"/>
      <c r="Q62" s="851">
        <v>0</v>
      </c>
      <c r="R62" s="851">
        <v>0</v>
      </c>
      <c r="S62" s="851">
        <v>0</v>
      </c>
    </row>
    <row r="63" spans="1:19">
      <c r="A63" s="1083">
        <f t="shared" si="4"/>
        <v>2.46999999999999</v>
      </c>
      <c r="B63" s="851" t="s">
        <v>1288</v>
      </c>
      <c r="C63" s="1053">
        <f t="shared" si="0"/>
        <v>13325.7</v>
      </c>
      <c r="D63" s="1053">
        <f t="shared" si="1"/>
        <v>7995.42</v>
      </c>
      <c r="E63" s="1053"/>
      <c r="F63" s="1053"/>
      <c r="G63" s="1053">
        <f t="shared" si="2"/>
        <v>10661</v>
      </c>
      <c r="H63" s="1053"/>
      <c r="I63" s="1053">
        <f t="shared" si="5"/>
        <v>10660.560000000001</v>
      </c>
      <c r="J63" s="1053">
        <f t="shared" si="5"/>
        <v>0</v>
      </c>
      <c r="K63" s="1053">
        <f t="shared" si="5"/>
        <v>0</v>
      </c>
      <c r="L63" s="1053"/>
      <c r="M63" s="851">
        <v>13325.7</v>
      </c>
      <c r="N63" s="851">
        <v>0</v>
      </c>
      <c r="O63" s="851">
        <v>0</v>
      </c>
      <c r="P63" s="1053"/>
      <c r="Q63" s="851">
        <v>7995.42</v>
      </c>
      <c r="R63" s="851">
        <v>0</v>
      </c>
      <c r="S63" s="851">
        <v>0</v>
      </c>
    </row>
    <row r="64" spans="1:19">
      <c r="A64" s="1083">
        <f t="shared" si="4"/>
        <v>2.4799999999999898</v>
      </c>
      <c r="B64" s="851" t="s">
        <v>1289</v>
      </c>
      <c r="C64" s="1053">
        <f t="shared" si="0"/>
        <v>15547.64</v>
      </c>
      <c r="D64" s="1053">
        <f t="shared" si="1"/>
        <v>9328.59</v>
      </c>
      <c r="E64" s="1053"/>
      <c r="F64" s="1053"/>
      <c r="G64" s="1053">
        <f t="shared" si="2"/>
        <v>12438</v>
      </c>
      <c r="H64" s="1053"/>
      <c r="I64" s="1053">
        <f t="shared" si="5"/>
        <v>12438.115</v>
      </c>
      <c r="J64" s="1053">
        <f t="shared" si="5"/>
        <v>0</v>
      </c>
      <c r="K64" s="1053">
        <f t="shared" si="5"/>
        <v>0</v>
      </c>
      <c r="L64" s="1053"/>
      <c r="M64" s="851">
        <v>15547.64</v>
      </c>
      <c r="N64" s="851">
        <v>0</v>
      </c>
      <c r="O64" s="851">
        <v>0</v>
      </c>
      <c r="P64" s="1053"/>
      <c r="Q64" s="851">
        <v>9328.59</v>
      </c>
      <c r="R64" s="851">
        <v>0</v>
      </c>
      <c r="S64" s="851">
        <v>0</v>
      </c>
    </row>
    <row r="65" spans="1:19">
      <c r="A65" s="1083">
        <f t="shared" si="4"/>
        <v>2.4899999999999896</v>
      </c>
      <c r="B65" s="851" t="s">
        <v>1290</v>
      </c>
      <c r="C65" s="1053">
        <f t="shared" si="0"/>
        <v>98612.37</v>
      </c>
      <c r="D65" s="1053">
        <f t="shared" si="1"/>
        <v>59167.42</v>
      </c>
      <c r="E65" s="1053"/>
      <c r="F65" s="1053"/>
      <c r="G65" s="1053">
        <f t="shared" si="2"/>
        <v>78890</v>
      </c>
      <c r="H65" s="1053"/>
      <c r="I65" s="1053">
        <f t="shared" si="5"/>
        <v>78889.89499999999</v>
      </c>
      <c r="J65" s="1053">
        <f t="shared" si="5"/>
        <v>0</v>
      </c>
      <c r="K65" s="1053">
        <f t="shared" si="5"/>
        <v>0</v>
      </c>
      <c r="L65" s="1053"/>
      <c r="M65" s="851">
        <v>98612.37</v>
      </c>
      <c r="N65" s="851">
        <v>0</v>
      </c>
      <c r="O65" s="851">
        <v>0</v>
      </c>
      <c r="P65" s="1053"/>
      <c r="Q65" s="851">
        <v>59167.42</v>
      </c>
      <c r="R65" s="851">
        <v>0</v>
      </c>
      <c r="S65" s="851">
        <v>0</v>
      </c>
    </row>
    <row r="66" spans="1:19">
      <c r="A66" s="1083">
        <f t="shared" si="4"/>
        <v>2.4999999999999893</v>
      </c>
      <c r="B66" s="851" t="s">
        <v>1291</v>
      </c>
      <c r="C66" s="1053">
        <f t="shared" si="0"/>
        <v>6173.39</v>
      </c>
      <c r="D66" s="1053">
        <f t="shared" si="1"/>
        <v>3704.03</v>
      </c>
      <c r="E66" s="1053"/>
      <c r="F66" s="1053"/>
      <c r="G66" s="1053">
        <f t="shared" si="2"/>
        <v>4939</v>
      </c>
      <c r="H66" s="1053"/>
      <c r="I66" s="1053">
        <f t="shared" si="5"/>
        <v>4938.71</v>
      </c>
      <c r="J66" s="1053">
        <f t="shared" si="5"/>
        <v>0</v>
      </c>
      <c r="K66" s="1053">
        <f t="shared" si="5"/>
        <v>0</v>
      </c>
      <c r="L66" s="1053"/>
      <c r="M66" s="851">
        <v>6173.39</v>
      </c>
      <c r="N66" s="851">
        <v>0</v>
      </c>
      <c r="O66" s="851">
        <v>0</v>
      </c>
      <c r="P66" s="1053"/>
      <c r="Q66" s="851">
        <v>3704.03</v>
      </c>
      <c r="R66" s="851">
        <v>0</v>
      </c>
      <c r="S66" s="851">
        <v>0</v>
      </c>
    </row>
    <row r="67" spans="1:19">
      <c r="A67" s="1083">
        <f t="shared" si="4"/>
        <v>2.5099999999999891</v>
      </c>
      <c r="B67" s="851" t="s">
        <v>1292</v>
      </c>
      <c r="C67" s="1053">
        <f t="shared" si="0"/>
        <v>160441</v>
      </c>
      <c r="D67" s="1053">
        <f t="shared" si="1"/>
        <v>96264.6</v>
      </c>
      <c r="E67" s="1053"/>
      <c r="F67" s="1053"/>
      <c r="G67" s="1053">
        <f t="shared" si="2"/>
        <v>128353</v>
      </c>
      <c r="H67" s="1053"/>
      <c r="I67" s="1053">
        <f t="shared" si="5"/>
        <v>128352.8</v>
      </c>
      <c r="J67" s="1053">
        <f t="shared" si="5"/>
        <v>0</v>
      </c>
      <c r="K67" s="1053">
        <f t="shared" si="5"/>
        <v>0</v>
      </c>
      <c r="L67" s="1053"/>
      <c r="M67" s="851">
        <v>160441</v>
      </c>
      <c r="N67" s="851">
        <v>0</v>
      </c>
      <c r="O67" s="851">
        <v>0</v>
      </c>
      <c r="P67" s="1053"/>
      <c r="Q67" s="851">
        <v>96264.6</v>
      </c>
      <c r="R67" s="851">
        <v>0</v>
      </c>
      <c r="S67" s="851">
        <v>0</v>
      </c>
    </row>
    <row r="68" spans="1:19">
      <c r="A68" s="1083">
        <f t="shared" si="4"/>
        <v>2.5199999999999889</v>
      </c>
      <c r="B68" s="851" t="s">
        <v>1293</v>
      </c>
      <c r="C68" s="1053">
        <f t="shared" si="0"/>
        <v>380022.85</v>
      </c>
      <c r="D68" s="1053">
        <f t="shared" si="1"/>
        <v>228013.71</v>
      </c>
      <c r="E68" s="1053"/>
      <c r="F68" s="1053"/>
      <c r="G68" s="1053">
        <f t="shared" si="2"/>
        <v>304018</v>
      </c>
      <c r="H68" s="1053"/>
      <c r="I68" s="1053">
        <f t="shared" si="5"/>
        <v>304018.27999999997</v>
      </c>
      <c r="J68" s="1053">
        <f t="shared" si="5"/>
        <v>0</v>
      </c>
      <c r="K68" s="1053">
        <f t="shared" si="5"/>
        <v>0</v>
      </c>
      <c r="L68" s="1053"/>
      <c r="M68" s="851">
        <v>380022.85</v>
      </c>
      <c r="N68" s="851">
        <v>0</v>
      </c>
      <c r="O68" s="851">
        <v>0</v>
      </c>
      <c r="P68" s="1053"/>
      <c r="Q68" s="851">
        <v>228013.71</v>
      </c>
      <c r="R68" s="851">
        <v>0</v>
      </c>
      <c r="S68" s="851">
        <v>0</v>
      </c>
    </row>
    <row r="69" spans="1:19">
      <c r="A69" s="1083">
        <f t="shared" si="4"/>
        <v>2.5299999999999887</v>
      </c>
      <c r="B69" s="851" t="s">
        <v>1294</v>
      </c>
      <c r="C69" s="1053">
        <f t="shared" si="0"/>
        <v>-125145</v>
      </c>
      <c r="D69" s="1053">
        <f t="shared" si="1"/>
        <v>-75087</v>
      </c>
      <c r="E69" s="1053"/>
      <c r="F69" s="1053"/>
      <c r="G69" s="1053">
        <f t="shared" si="2"/>
        <v>-100116</v>
      </c>
      <c r="H69" s="1053"/>
      <c r="I69" s="1053">
        <f t="shared" si="5"/>
        <v>-100116</v>
      </c>
      <c r="J69" s="1053">
        <f t="shared" si="5"/>
        <v>0</v>
      </c>
      <c r="K69" s="1053">
        <f t="shared" si="5"/>
        <v>0</v>
      </c>
      <c r="L69" s="1053"/>
      <c r="M69" s="851">
        <v>-125145</v>
      </c>
      <c r="N69" s="851">
        <v>0</v>
      </c>
      <c r="O69" s="851">
        <v>0</v>
      </c>
      <c r="P69" s="1053"/>
      <c r="Q69" s="851">
        <v>-75087</v>
      </c>
      <c r="R69" s="851">
        <v>0</v>
      </c>
      <c r="S69" s="851">
        <v>0</v>
      </c>
    </row>
    <row r="70" spans="1:19">
      <c r="A70" s="1083">
        <f t="shared" si="4"/>
        <v>2.5399999999999885</v>
      </c>
      <c r="B70" s="851" t="s">
        <v>1295</v>
      </c>
      <c r="C70" s="1053">
        <f t="shared" si="0"/>
        <v>748943.79</v>
      </c>
      <c r="D70" s="1053">
        <f t="shared" si="1"/>
        <v>449132.42</v>
      </c>
      <c r="E70" s="1053"/>
      <c r="F70" s="1053"/>
      <c r="G70" s="1053">
        <f t="shared" si="2"/>
        <v>599038</v>
      </c>
      <c r="H70" s="1053"/>
      <c r="I70" s="1053">
        <f t="shared" si="5"/>
        <v>0</v>
      </c>
      <c r="J70" s="1053">
        <f t="shared" si="5"/>
        <v>0</v>
      </c>
      <c r="K70" s="1053">
        <f t="shared" si="5"/>
        <v>599038.10499999998</v>
      </c>
      <c r="L70" s="1053"/>
      <c r="M70" s="851">
        <v>0</v>
      </c>
      <c r="N70" s="851">
        <v>0</v>
      </c>
      <c r="O70" s="851">
        <v>748943.79</v>
      </c>
      <c r="P70" s="1053"/>
      <c r="Q70" s="851">
        <v>0</v>
      </c>
      <c r="R70" s="851">
        <v>0</v>
      </c>
      <c r="S70" s="851">
        <v>449132.42</v>
      </c>
    </row>
    <row r="71" spans="1:19">
      <c r="A71" s="1083">
        <f t="shared" si="4"/>
        <v>2.5499999999999883</v>
      </c>
      <c r="B71" s="851" t="s">
        <v>1296</v>
      </c>
      <c r="C71" s="1053">
        <f t="shared" si="0"/>
        <v>322263</v>
      </c>
      <c r="D71" s="1053">
        <f t="shared" si="1"/>
        <v>154686.29999999999</v>
      </c>
      <c r="E71" s="1053"/>
      <c r="F71" s="1053"/>
      <c r="G71" s="1053">
        <f t="shared" si="2"/>
        <v>238475</v>
      </c>
      <c r="H71" s="1053"/>
      <c r="I71" s="1053">
        <f t="shared" si="5"/>
        <v>0</v>
      </c>
      <c r="J71" s="1053">
        <f t="shared" si="5"/>
        <v>238474.65</v>
      </c>
      <c r="K71" s="1053">
        <f t="shared" si="5"/>
        <v>0</v>
      </c>
      <c r="L71" s="1053"/>
      <c r="M71" s="851">
        <v>0</v>
      </c>
      <c r="N71" s="851">
        <v>322263</v>
      </c>
      <c r="O71" s="851">
        <v>0</v>
      </c>
      <c r="P71" s="1053"/>
      <c r="Q71" s="851">
        <v>0</v>
      </c>
      <c r="R71" s="851">
        <v>154686.29999999999</v>
      </c>
      <c r="S71" s="851">
        <v>0</v>
      </c>
    </row>
    <row r="72" spans="1:19">
      <c r="A72" s="1083">
        <f t="shared" si="4"/>
        <v>2.5599999999999881</v>
      </c>
      <c r="B72" s="851" t="s">
        <v>1297</v>
      </c>
      <c r="C72" s="1053">
        <f t="shared" si="0"/>
        <v>3161728.1</v>
      </c>
      <c r="D72" s="1053">
        <f t="shared" si="1"/>
        <v>7294038.0199999996</v>
      </c>
      <c r="E72" s="1053"/>
      <c r="F72" s="1053"/>
      <c r="G72" s="1053">
        <f t="shared" si="2"/>
        <v>5227883</v>
      </c>
      <c r="H72" s="1053"/>
      <c r="I72" s="1053">
        <f t="shared" si="5"/>
        <v>5227883.0599999996</v>
      </c>
      <c r="J72" s="1053">
        <f t="shared" si="5"/>
        <v>0</v>
      </c>
      <c r="K72" s="1053">
        <f t="shared" si="5"/>
        <v>0</v>
      </c>
      <c r="L72" s="1053"/>
      <c r="M72" s="851">
        <v>3161728.1</v>
      </c>
      <c r="N72" s="851">
        <v>0</v>
      </c>
      <c r="O72" s="851">
        <v>0</v>
      </c>
      <c r="P72" s="1053"/>
      <c r="Q72" s="851">
        <v>7294038.0199999996</v>
      </c>
      <c r="R72" s="851">
        <v>0</v>
      </c>
      <c r="S72" s="851">
        <v>0</v>
      </c>
    </row>
    <row r="73" spans="1:19">
      <c r="A73" s="1083">
        <f t="shared" si="4"/>
        <v>2.5699999999999878</v>
      </c>
      <c r="B73" s="851" t="s">
        <v>1298</v>
      </c>
      <c r="C73" s="1053">
        <f t="shared" si="0"/>
        <v>1192223.6399999999</v>
      </c>
      <c r="D73" s="1053">
        <f t="shared" si="1"/>
        <v>655605.4</v>
      </c>
      <c r="E73" s="1053"/>
      <c r="F73" s="1053"/>
      <c r="G73" s="1053">
        <f t="shared" si="2"/>
        <v>923915</v>
      </c>
      <c r="H73" s="1053"/>
      <c r="I73" s="1053">
        <f t="shared" si="5"/>
        <v>923914.52</v>
      </c>
      <c r="J73" s="1053">
        <f t="shared" si="5"/>
        <v>0</v>
      </c>
      <c r="K73" s="1053">
        <f t="shared" si="5"/>
        <v>0</v>
      </c>
      <c r="L73" s="1053"/>
      <c r="M73" s="851">
        <v>1192223.6399999999</v>
      </c>
      <c r="N73" s="851">
        <v>0</v>
      </c>
      <c r="O73" s="851">
        <v>0</v>
      </c>
      <c r="P73" s="1053"/>
      <c r="Q73" s="851">
        <v>655605.4</v>
      </c>
      <c r="R73" s="851">
        <v>0</v>
      </c>
      <c r="S73" s="851">
        <v>0</v>
      </c>
    </row>
    <row r="74" spans="1:19">
      <c r="A74" s="1083">
        <f t="shared" si="4"/>
        <v>2.5799999999999876</v>
      </c>
      <c r="B74" s="851" t="s">
        <v>1299</v>
      </c>
      <c r="C74" s="1053">
        <f t="shared" si="0"/>
        <v>28399.45</v>
      </c>
      <c r="D74" s="1053">
        <f t="shared" si="1"/>
        <v>24198.36</v>
      </c>
      <c r="E74" s="1053"/>
      <c r="F74" s="1053"/>
      <c r="G74" s="1053">
        <f t="shared" si="2"/>
        <v>26299</v>
      </c>
      <c r="H74" s="1053"/>
      <c r="I74" s="1053">
        <f t="shared" si="5"/>
        <v>-554.39</v>
      </c>
      <c r="J74" s="1053">
        <f t="shared" si="5"/>
        <v>-2.84</v>
      </c>
      <c r="K74" s="1053">
        <f t="shared" si="5"/>
        <v>26856.135000000002</v>
      </c>
      <c r="L74" s="1053"/>
      <c r="M74" s="851">
        <v>-735.25</v>
      </c>
      <c r="N74" s="851">
        <v>-3.55</v>
      </c>
      <c r="O74" s="851">
        <v>29138.25</v>
      </c>
      <c r="P74" s="1053"/>
      <c r="Q74" s="851">
        <v>-373.53</v>
      </c>
      <c r="R74" s="851">
        <v>-2.13</v>
      </c>
      <c r="S74" s="851">
        <v>24574.02</v>
      </c>
    </row>
    <row r="75" spans="1:19">
      <c r="A75" s="1083">
        <f t="shared" si="4"/>
        <v>2.5899999999999874</v>
      </c>
      <c r="B75" s="851" t="s">
        <v>1300</v>
      </c>
      <c r="C75" s="1053">
        <f t="shared" si="0"/>
        <v>1348443.6</v>
      </c>
      <c r="D75" s="1053">
        <f t="shared" si="1"/>
        <v>797911.17</v>
      </c>
      <c r="E75" s="1053"/>
      <c r="F75" s="1053"/>
      <c r="G75" s="1053">
        <f t="shared" si="2"/>
        <v>1073177</v>
      </c>
      <c r="H75" s="1053"/>
      <c r="I75" s="1053">
        <f t="shared" si="5"/>
        <v>0</v>
      </c>
      <c r="J75" s="1053">
        <f t="shared" si="5"/>
        <v>1073177.385</v>
      </c>
      <c r="K75" s="1053">
        <f t="shared" si="5"/>
        <v>0</v>
      </c>
      <c r="L75" s="1053"/>
      <c r="M75" s="851">
        <v>0</v>
      </c>
      <c r="N75" s="851">
        <v>1348443.6</v>
      </c>
      <c r="O75" s="851">
        <v>0</v>
      </c>
      <c r="P75" s="1053"/>
      <c r="Q75" s="851">
        <v>0</v>
      </c>
      <c r="R75" s="851">
        <v>797911.17</v>
      </c>
      <c r="S75" s="851">
        <v>0</v>
      </c>
    </row>
    <row r="76" spans="1:19">
      <c r="A76" s="1083">
        <f t="shared" si="4"/>
        <v>2.5999999999999872</v>
      </c>
      <c r="B76" s="851" t="s">
        <v>1301</v>
      </c>
      <c r="C76" s="1053">
        <f t="shared" si="0"/>
        <v>-14423610.27</v>
      </c>
      <c r="D76" s="1053">
        <f t="shared" si="1"/>
        <v>-10141963.6</v>
      </c>
      <c r="E76" s="1053"/>
      <c r="F76" s="1053"/>
      <c r="G76" s="1053">
        <f t="shared" si="2"/>
        <v>-12282787</v>
      </c>
      <c r="H76" s="1053"/>
      <c r="I76" s="1053">
        <f t="shared" si="5"/>
        <v>-6349937.875</v>
      </c>
      <c r="J76" s="1053">
        <f t="shared" si="5"/>
        <v>-1017422.37</v>
      </c>
      <c r="K76" s="1053">
        <f t="shared" si="5"/>
        <v>-4915426.6899999995</v>
      </c>
      <c r="L76" s="1053"/>
      <c r="M76" s="851">
        <v>-7391089</v>
      </c>
      <c r="N76" s="851">
        <v>-1167990.05</v>
      </c>
      <c r="O76" s="851">
        <v>-5864531.2199999997</v>
      </c>
      <c r="P76" s="1053"/>
      <c r="Q76" s="851">
        <v>-5308786.75</v>
      </c>
      <c r="R76" s="851">
        <v>-866854.69</v>
      </c>
      <c r="S76" s="851">
        <v>-3966322.16</v>
      </c>
    </row>
    <row r="77" spans="1:19">
      <c r="A77" s="1083">
        <f t="shared" si="4"/>
        <v>2.609999999999987</v>
      </c>
      <c r="B77" s="851" t="s">
        <v>1302</v>
      </c>
      <c r="C77" s="1053">
        <f t="shared" si="0"/>
        <v>11520154.1</v>
      </c>
      <c r="D77" s="1053">
        <f t="shared" si="1"/>
        <v>6912092.46</v>
      </c>
      <c r="E77" s="1053"/>
      <c r="F77" s="1053"/>
      <c r="G77" s="1053">
        <f t="shared" si="2"/>
        <v>9216123</v>
      </c>
      <c r="H77" s="1053"/>
      <c r="I77" s="1053">
        <f t="shared" si="5"/>
        <v>4611091.8</v>
      </c>
      <c r="J77" s="1053">
        <f t="shared" si="5"/>
        <v>418603.64</v>
      </c>
      <c r="K77" s="1053">
        <f t="shared" si="5"/>
        <v>4186427.84</v>
      </c>
      <c r="L77" s="1053"/>
      <c r="M77" s="851">
        <v>5763864.75</v>
      </c>
      <c r="N77" s="851">
        <v>523254.55</v>
      </c>
      <c r="O77" s="851">
        <v>5233034.8</v>
      </c>
      <c r="P77" s="1053"/>
      <c r="Q77" s="851">
        <v>3458318.85</v>
      </c>
      <c r="R77" s="851">
        <v>313952.73</v>
      </c>
      <c r="S77" s="851">
        <v>3139820.88</v>
      </c>
    </row>
    <row r="78" spans="1:19">
      <c r="A78" s="1083">
        <f t="shared" si="4"/>
        <v>2.6199999999999868</v>
      </c>
      <c r="B78" s="851" t="s">
        <v>1303</v>
      </c>
      <c r="C78" s="1053">
        <f t="shared" si="0"/>
        <v>-3900734.4800000004</v>
      </c>
      <c r="D78" s="1053">
        <f t="shared" si="1"/>
        <v>539781.19999999995</v>
      </c>
      <c r="E78" s="1053"/>
      <c r="F78" s="1053"/>
      <c r="G78" s="1053">
        <f t="shared" si="2"/>
        <v>-1680477</v>
      </c>
      <c r="H78" s="1053"/>
      <c r="I78" s="1053">
        <f t="shared" si="5"/>
        <v>-938548.99</v>
      </c>
      <c r="J78" s="1053">
        <f t="shared" si="5"/>
        <v>143357.08499999999</v>
      </c>
      <c r="K78" s="1053">
        <f t="shared" si="5"/>
        <v>-885284.7350000001</v>
      </c>
      <c r="L78" s="1053"/>
      <c r="M78" s="851">
        <v>-1965488.51</v>
      </c>
      <c r="N78" s="851">
        <v>70609.87</v>
      </c>
      <c r="O78" s="851">
        <v>-2005855.84</v>
      </c>
      <c r="P78" s="1053"/>
      <c r="Q78" s="851">
        <v>88390.53</v>
      </c>
      <c r="R78" s="851">
        <v>216104.3</v>
      </c>
      <c r="S78" s="851">
        <v>235286.37</v>
      </c>
    </row>
    <row r="79" spans="1:19">
      <c r="A79" s="1083">
        <f t="shared" si="4"/>
        <v>2.6299999999999866</v>
      </c>
      <c r="B79" s="851" t="s">
        <v>1304</v>
      </c>
      <c r="C79" s="1053">
        <f t="shared" si="0"/>
        <v>6623635.5600000005</v>
      </c>
      <c r="D79" s="1053">
        <f t="shared" si="1"/>
        <v>3797530.99</v>
      </c>
      <c r="E79" s="1053"/>
      <c r="F79" s="1053"/>
      <c r="G79" s="1053">
        <f t="shared" si="2"/>
        <v>5210583</v>
      </c>
      <c r="H79" s="1053"/>
      <c r="I79" s="1053">
        <f t="shared" si="5"/>
        <v>1801910.4</v>
      </c>
      <c r="J79" s="1053">
        <f t="shared" si="5"/>
        <v>220332.48500000002</v>
      </c>
      <c r="K79" s="1053">
        <f t="shared" si="5"/>
        <v>3188340.39</v>
      </c>
      <c r="L79" s="1053"/>
      <c r="M79" s="851">
        <v>2251721.52</v>
      </c>
      <c r="N79" s="851">
        <v>292746.65000000002</v>
      </c>
      <c r="O79" s="851">
        <v>4079167.39</v>
      </c>
      <c r="P79" s="1053"/>
      <c r="Q79" s="851">
        <v>1352099.28</v>
      </c>
      <c r="R79" s="851">
        <v>147918.32</v>
      </c>
      <c r="S79" s="851">
        <v>2297513.39</v>
      </c>
    </row>
    <row r="80" spans="1:19">
      <c r="A80" s="1083">
        <f t="shared" si="4"/>
        <v>2.6399999999999864</v>
      </c>
      <c r="B80" s="851" t="s">
        <v>1305</v>
      </c>
      <c r="C80" s="1057">
        <f t="shared" si="0"/>
        <v>39570692.149999999</v>
      </c>
      <c r="D80" s="1057">
        <f t="shared" si="1"/>
        <v>21837590.370000001</v>
      </c>
      <c r="E80" s="1057"/>
      <c r="F80" s="1057"/>
      <c r="G80" s="1057">
        <f t="shared" si="2"/>
        <v>30704141</v>
      </c>
      <c r="H80" s="1057"/>
      <c r="I80" s="1057">
        <f t="shared" si="5"/>
        <v>30467683.865000002</v>
      </c>
      <c r="J80" s="1057">
        <f t="shared" si="5"/>
        <v>7102.5949999999993</v>
      </c>
      <c r="K80" s="1057">
        <f t="shared" si="5"/>
        <v>229354.8</v>
      </c>
      <c r="L80" s="1057"/>
      <c r="M80" s="851">
        <v>39289473</v>
      </c>
      <c r="N80" s="851">
        <v>8673.5499999999993</v>
      </c>
      <c r="O80" s="851">
        <v>272545.59999999998</v>
      </c>
      <c r="P80" s="1057"/>
      <c r="Q80" s="851">
        <v>21645894.73</v>
      </c>
      <c r="R80" s="851">
        <v>5531.64</v>
      </c>
      <c r="S80" s="851">
        <v>186164</v>
      </c>
    </row>
    <row r="81" spans="1:19">
      <c r="A81" s="1083">
        <f t="shared" si="4"/>
        <v>2.6499999999999861</v>
      </c>
      <c r="B81" s="851" t="s">
        <v>1306</v>
      </c>
      <c r="C81" s="1057">
        <f t="shared" ref="C81:C94" si="6">SUM(M81:O81)</f>
        <v>4201682.1900000004</v>
      </c>
      <c r="D81" s="1057">
        <f t="shared" ref="D81:D94" si="7">SUM(Q81:S81)</f>
        <v>2521009.3199999998</v>
      </c>
      <c r="E81" s="1057"/>
      <c r="F81" s="1057"/>
      <c r="G81" s="1057">
        <f t="shared" ref="G81:G113" si="8">ROUND(SUM(C81:F81)/2,0)</f>
        <v>3361346</v>
      </c>
      <c r="H81" s="1057"/>
      <c r="I81" s="1057">
        <f t="shared" ref="I81:K94" si="9">(M81+Q81)/2</f>
        <v>3361345.7549999999</v>
      </c>
      <c r="J81" s="1057">
        <f t="shared" si="9"/>
        <v>0</v>
      </c>
      <c r="K81" s="1057">
        <f t="shared" si="9"/>
        <v>0</v>
      </c>
      <c r="L81" s="1057"/>
      <c r="M81" s="851">
        <v>4201682.1900000004</v>
      </c>
      <c r="N81" s="851">
        <v>0</v>
      </c>
      <c r="O81" s="851">
        <v>0</v>
      </c>
      <c r="P81" s="1057"/>
      <c r="Q81" s="851">
        <v>2521009.3199999998</v>
      </c>
      <c r="R81" s="851">
        <v>0</v>
      </c>
      <c r="S81" s="851">
        <v>0</v>
      </c>
    </row>
    <row r="82" spans="1:19">
      <c r="A82" s="1083">
        <f t="shared" si="4"/>
        <v>2.6599999999999859</v>
      </c>
      <c r="B82" s="851" t="s">
        <v>1307</v>
      </c>
      <c r="C82" s="1053">
        <f t="shared" si="6"/>
        <v>0</v>
      </c>
      <c r="D82" s="1053">
        <f t="shared" si="7"/>
        <v>0</v>
      </c>
      <c r="E82" s="1053"/>
      <c r="F82" s="1053"/>
      <c r="G82" s="1053">
        <f t="shared" si="8"/>
        <v>0</v>
      </c>
      <c r="H82" s="1053"/>
      <c r="I82" s="1053">
        <f t="shared" si="9"/>
        <v>0</v>
      </c>
      <c r="J82" s="1053">
        <f t="shared" si="9"/>
        <v>0</v>
      </c>
      <c r="K82" s="1053">
        <f t="shared" si="9"/>
        <v>0</v>
      </c>
      <c r="L82" s="1053"/>
      <c r="M82" s="851">
        <v>0</v>
      </c>
      <c r="N82" s="851">
        <v>0</v>
      </c>
      <c r="O82" s="851">
        <v>0</v>
      </c>
      <c r="P82" s="1053"/>
      <c r="Q82" s="851">
        <v>0</v>
      </c>
      <c r="R82" s="851">
        <v>0</v>
      </c>
      <c r="S82" s="851">
        <v>0</v>
      </c>
    </row>
    <row r="83" spans="1:19">
      <c r="A83" s="1083">
        <f t="shared" ref="A83:A113" si="10">A82+0.01</f>
        <v>2.6699999999999857</v>
      </c>
      <c r="B83" s="851" t="s">
        <v>1308</v>
      </c>
      <c r="C83" s="1053">
        <f t="shared" si="6"/>
        <v>121212.84</v>
      </c>
      <c r="D83" s="1053">
        <f t="shared" si="7"/>
        <v>72727.7</v>
      </c>
      <c r="E83" s="1053"/>
      <c r="F83" s="1053"/>
      <c r="G83" s="1053">
        <f t="shared" si="8"/>
        <v>96970</v>
      </c>
      <c r="H83" s="1053"/>
      <c r="I83" s="1053">
        <f t="shared" si="9"/>
        <v>96970.26999999999</v>
      </c>
      <c r="J83" s="1053">
        <f t="shared" si="9"/>
        <v>0</v>
      </c>
      <c r="K83" s="1053">
        <f t="shared" si="9"/>
        <v>0</v>
      </c>
      <c r="L83" s="1053"/>
      <c r="M83" s="851">
        <v>121212.84</v>
      </c>
      <c r="N83" s="851">
        <v>0</v>
      </c>
      <c r="O83" s="851">
        <v>0</v>
      </c>
      <c r="P83" s="1053"/>
      <c r="Q83" s="851">
        <v>72727.7</v>
      </c>
      <c r="R83" s="851">
        <v>0</v>
      </c>
      <c r="S83" s="851">
        <v>0</v>
      </c>
    </row>
    <row r="84" spans="1:19">
      <c r="A84" s="1083">
        <f t="shared" si="10"/>
        <v>2.6799999999999855</v>
      </c>
      <c r="B84" s="851" t="s">
        <v>1309</v>
      </c>
      <c r="C84" s="1053">
        <f t="shared" si="6"/>
        <v>98362640.900000006</v>
      </c>
      <c r="D84" s="1053">
        <f t="shared" si="7"/>
        <v>59644365.969999999</v>
      </c>
      <c r="E84" s="1053"/>
      <c r="F84" s="1053"/>
      <c r="G84" s="1053">
        <f t="shared" si="8"/>
        <v>79003503</v>
      </c>
      <c r="H84" s="1053"/>
      <c r="I84" s="1053">
        <f t="shared" si="9"/>
        <v>8936752.0150000006</v>
      </c>
      <c r="J84" s="1053">
        <f t="shared" si="9"/>
        <v>22701665.495000001</v>
      </c>
      <c r="K84" s="1053">
        <f t="shared" si="9"/>
        <v>47365085.924999997</v>
      </c>
      <c r="L84" s="1053"/>
      <c r="M84" s="851">
        <v>12088141.699999999</v>
      </c>
      <c r="N84" s="851">
        <v>27941228.100000001</v>
      </c>
      <c r="O84" s="851">
        <v>58333271.100000001</v>
      </c>
      <c r="P84" s="1053"/>
      <c r="Q84" s="851">
        <v>5785362.3300000001</v>
      </c>
      <c r="R84" s="851">
        <v>17462102.890000001</v>
      </c>
      <c r="S84" s="851">
        <v>36396900.75</v>
      </c>
    </row>
    <row r="85" spans="1:19">
      <c r="A85" s="1083">
        <f t="shared" si="10"/>
        <v>2.6899999999999853</v>
      </c>
      <c r="B85" s="851" t="s">
        <v>1310</v>
      </c>
      <c r="C85" s="1053">
        <f t="shared" si="6"/>
        <v>-74483.850000000006</v>
      </c>
      <c r="D85" s="1053">
        <f t="shared" si="7"/>
        <v>-44690.31</v>
      </c>
      <c r="E85" s="1053"/>
      <c r="F85" s="1053"/>
      <c r="G85" s="1053">
        <f t="shared" si="8"/>
        <v>-59587</v>
      </c>
      <c r="H85" s="1053"/>
      <c r="I85" s="1053">
        <f t="shared" si="9"/>
        <v>-25363.52</v>
      </c>
      <c r="J85" s="1053">
        <f t="shared" si="9"/>
        <v>-3759</v>
      </c>
      <c r="K85" s="1053">
        <f t="shared" si="9"/>
        <v>-30464.559999999998</v>
      </c>
      <c r="L85" s="1053"/>
      <c r="M85" s="851">
        <v>-31704.400000000001</v>
      </c>
      <c r="N85" s="851">
        <v>-4698.75</v>
      </c>
      <c r="O85" s="851">
        <v>-38080.699999999997</v>
      </c>
      <c r="P85" s="1053"/>
      <c r="Q85" s="851">
        <v>-19022.64</v>
      </c>
      <c r="R85" s="851">
        <v>-2819.25</v>
      </c>
      <c r="S85" s="851">
        <v>-22848.42</v>
      </c>
    </row>
    <row r="86" spans="1:19">
      <c r="A86" s="1083">
        <f t="shared" si="10"/>
        <v>2.6999999999999851</v>
      </c>
      <c r="B86" s="851" t="s">
        <v>741</v>
      </c>
      <c r="C86" s="1053">
        <f t="shared" si="6"/>
        <v>24526663.350000001</v>
      </c>
      <c r="D86" s="1053">
        <f t="shared" si="7"/>
        <v>16343442.529999999</v>
      </c>
      <c r="E86" s="1053"/>
      <c r="F86" s="1053"/>
      <c r="G86" s="1053">
        <f t="shared" si="8"/>
        <v>20435053</v>
      </c>
      <c r="H86" s="1053"/>
      <c r="I86" s="1053">
        <f t="shared" si="9"/>
        <v>12267681.775</v>
      </c>
      <c r="J86" s="1053">
        <f t="shared" si="9"/>
        <v>3072019.6100000003</v>
      </c>
      <c r="K86" s="1053">
        <f t="shared" si="9"/>
        <v>5095351.5549999997</v>
      </c>
      <c r="L86" s="1053"/>
      <c r="M86" s="851">
        <v>15526149.57</v>
      </c>
      <c r="N86" s="851">
        <v>3374349.12</v>
      </c>
      <c r="O86" s="851">
        <v>5626164.6600000001</v>
      </c>
      <c r="P86" s="1053"/>
      <c r="Q86" s="851">
        <v>9009213.9800000004</v>
      </c>
      <c r="R86" s="851">
        <v>2769690.1</v>
      </c>
      <c r="S86" s="851">
        <v>4564538.4499999993</v>
      </c>
    </row>
    <row r="87" spans="1:19">
      <c r="A87" s="1083">
        <f t="shared" si="10"/>
        <v>2.7099999999999849</v>
      </c>
      <c r="B87" s="851" t="s">
        <v>1311</v>
      </c>
      <c r="C87" s="1053">
        <f t="shared" si="6"/>
        <v>0</v>
      </c>
      <c r="D87" s="1053">
        <f t="shared" si="7"/>
        <v>0</v>
      </c>
      <c r="E87" s="1053"/>
      <c r="F87" s="1053"/>
      <c r="G87" s="1053">
        <f t="shared" si="8"/>
        <v>0</v>
      </c>
      <c r="H87" s="1053"/>
      <c r="I87" s="1053">
        <f t="shared" si="9"/>
        <v>0</v>
      </c>
      <c r="J87" s="1053">
        <f t="shared" si="9"/>
        <v>0</v>
      </c>
      <c r="K87" s="1053">
        <f t="shared" si="9"/>
        <v>0</v>
      </c>
      <c r="L87" s="1053"/>
      <c r="M87" s="851">
        <v>0</v>
      </c>
      <c r="N87" s="851">
        <v>0</v>
      </c>
      <c r="O87" s="851">
        <v>0</v>
      </c>
      <c r="P87" s="1053"/>
      <c r="Q87" s="851">
        <v>0</v>
      </c>
      <c r="R87" s="851">
        <v>0</v>
      </c>
      <c r="S87" s="851">
        <v>0</v>
      </c>
    </row>
    <row r="88" spans="1:19">
      <c r="A88" s="1083">
        <f t="shared" si="10"/>
        <v>2.7199999999999847</v>
      </c>
      <c r="B88" s="851" t="s">
        <v>1312</v>
      </c>
      <c r="C88" s="1053">
        <f t="shared" si="6"/>
        <v>0</v>
      </c>
      <c r="D88" s="1053">
        <f t="shared" si="7"/>
        <v>0</v>
      </c>
      <c r="E88" s="1053"/>
      <c r="F88" s="1053"/>
      <c r="G88" s="1053">
        <f t="shared" si="8"/>
        <v>0</v>
      </c>
      <c r="H88" s="1053"/>
      <c r="I88" s="1053">
        <f t="shared" si="9"/>
        <v>0</v>
      </c>
      <c r="J88" s="1053">
        <f t="shared" si="9"/>
        <v>0</v>
      </c>
      <c r="K88" s="1053">
        <f t="shared" si="9"/>
        <v>0</v>
      </c>
      <c r="L88" s="1053"/>
      <c r="M88" s="851">
        <v>0</v>
      </c>
      <c r="N88" s="851">
        <v>0</v>
      </c>
      <c r="O88" s="851">
        <v>0</v>
      </c>
      <c r="P88" s="1053"/>
      <c r="Q88" s="851">
        <v>0</v>
      </c>
      <c r="R88" s="851">
        <v>0</v>
      </c>
      <c r="S88" s="851">
        <v>0</v>
      </c>
    </row>
    <row r="89" spans="1:19">
      <c r="A89" s="1083">
        <f t="shared" si="10"/>
        <v>2.7299999999999844</v>
      </c>
      <c r="B89" s="851" t="s">
        <v>1313</v>
      </c>
      <c r="C89" s="1053">
        <f t="shared" si="6"/>
        <v>34204.749999999942</v>
      </c>
      <c r="D89" s="1053">
        <f t="shared" si="7"/>
        <v>20522.849999999919</v>
      </c>
      <c r="E89" s="1053"/>
      <c r="F89" s="1053"/>
      <c r="G89" s="1053">
        <f t="shared" si="8"/>
        <v>27364</v>
      </c>
      <c r="H89" s="1053"/>
      <c r="I89" s="1053">
        <f t="shared" si="9"/>
        <v>11653.639999999985</v>
      </c>
      <c r="J89" s="1053">
        <f t="shared" si="9"/>
        <v>1570.3999999999942</v>
      </c>
      <c r="K89" s="1053">
        <f t="shared" si="9"/>
        <v>14139.759999999951</v>
      </c>
      <c r="L89" s="1053"/>
      <c r="M89" s="851">
        <v>14567.049999999988</v>
      </c>
      <c r="N89" s="851">
        <v>1963</v>
      </c>
      <c r="O89" s="851">
        <v>17674.699999999953</v>
      </c>
      <c r="P89" s="1053"/>
      <c r="Q89" s="851">
        <v>8740.2299999999814</v>
      </c>
      <c r="R89" s="851">
        <v>1177.7999999999884</v>
      </c>
      <c r="S89" s="851">
        <v>10604.819999999949</v>
      </c>
    </row>
    <row r="90" spans="1:19">
      <c r="A90" s="1083">
        <f t="shared" si="10"/>
        <v>2.7399999999999842</v>
      </c>
      <c r="B90" s="851" t="s">
        <v>1314</v>
      </c>
      <c r="C90" s="1053">
        <f t="shared" si="6"/>
        <v>41391.350000000006</v>
      </c>
      <c r="D90" s="1053">
        <f t="shared" si="7"/>
        <v>24834.81</v>
      </c>
      <c r="E90" s="1053"/>
      <c r="F90" s="1053"/>
      <c r="G90" s="1053">
        <f t="shared" si="8"/>
        <v>33113</v>
      </c>
      <c r="H90" s="1053"/>
      <c r="I90" s="1053">
        <f t="shared" si="9"/>
        <v>13996.920000000002</v>
      </c>
      <c r="J90" s="1053">
        <f t="shared" si="9"/>
        <v>2266.6</v>
      </c>
      <c r="K90" s="1053">
        <f t="shared" si="9"/>
        <v>16849.560000000001</v>
      </c>
      <c r="L90" s="1053"/>
      <c r="M90" s="851">
        <v>17496.150000000001</v>
      </c>
      <c r="N90" s="851">
        <v>2833.25</v>
      </c>
      <c r="O90" s="851">
        <v>21061.95</v>
      </c>
      <c r="P90" s="1053"/>
      <c r="Q90" s="851">
        <v>10497.69</v>
      </c>
      <c r="R90" s="851">
        <v>1699.95</v>
      </c>
      <c r="S90" s="851">
        <v>12637.17</v>
      </c>
    </row>
    <row r="91" spans="1:19">
      <c r="A91" s="1083">
        <f t="shared" si="10"/>
        <v>2.749999999999984</v>
      </c>
      <c r="B91" s="851" t="s">
        <v>1315</v>
      </c>
      <c r="C91" s="1053">
        <f t="shared" si="6"/>
        <v>0</v>
      </c>
      <c r="D91" s="1053">
        <f t="shared" si="7"/>
        <v>0</v>
      </c>
      <c r="E91" s="1053"/>
      <c r="F91" s="1053"/>
      <c r="G91" s="1053">
        <f t="shared" si="8"/>
        <v>0</v>
      </c>
      <c r="H91" s="1053"/>
      <c r="I91" s="1053">
        <f t="shared" si="9"/>
        <v>0</v>
      </c>
      <c r="J91" s="1053">
        <f t="shared" si="9"/>
        <v>0</v>
      </c>
      <c r="K91" s="1053">
        <f t="shared" si="9"/>
        <v>0</v>
      </c>
      <c r="L91" s="1053"/>
      <c r="M91" s="851">
        <v>0</v>
      </c>
      <c r="N91" s="851">
        <v>0</v>
      </c>
      <c r="O91" s="851">
        <v>0</v>
      </c>
      <c r="P91" s="1053"/>
      <c r="Q91" s="851">
        <v>0</v>
      </c>
      <c r="R91" s="851">
        <v>0</v>
      </c>
      <c r="S91" s="851">
        <v>0</v>
      </c>
    </row>
    <row r="92" spans="1:19">
      <c r="A92" s="1083">
        <f t="shared" si="10"/>
        <v>2.7599999999999838</v>
      </c>
      <c r="B92" s="851" t="s">
        <v>1316</v>
      </c>
      <c r="C92" s="1053">
        <f t="shared" si="6"/>
        <v>0</v>
      </c>
      <c r="D92" s="1053">
        <f t="shared" si="7"/>
        <v>7.0000000000000007E-2</v>
      </c>
      <c r="E92" s="1053"/>
      <c r="F92" s="1053"/>
      <c r="G92" s="1053">
        <f t="shared" si="8"/>
        <v>0</v>
      </c>
      <c r="H92" s="1053"/>
      <c r="I92" s="1053">
        <f t="shared" si="9"/>
        <v>3.5000000000000003E-2</v>
      </c>
      <c r="J92" s="1053">
        <f t="shared" si="9"/>
        <v>-3.5000000000000003E-2</v>
      </c>
      <c r="K92" s="1053">
        <f t="shared" si="9"/>
        <v>3.5000000000000003E-2</v>
      </c>
      <c r="L92" s="1053"/>
      <c r="M92" s="851">
        <v>0</v>
      </c>
      <c r="N92" s="851">
        <v>0</v>
      </c>
      <c r="O92" s="851">
        <v>0</v>
      </c>
      <c r="P92" s="1053"/>
      <c r="Q92" s="851">
        <v>7.0000000000000007E-2</v>
      </c>
      <c r="R92" s="851">
        <v>-7.0000000000000007E-2</v>
      </c>
      <c r="S92" s="851">
        <v>7.0000000000000007E-2</v>
      </c>
    </row>
    <row r="93" spans="1:19">
      <c r="A93" s="1083">
        <f t="shared" si="10"/>
        <v>2.7699999999999836</v>
      </c>
      <c r="B93" s="851" t="s">
        <v>1317</v>
      </c>
      <c r="C93" s="1053">
        <f t="shared" si="6"/>
        <v>0</v>
      </c>
      <c r="D93" s="1053">
        <f t="shared" si="7"/>
        <v>0</v>
      </c>
      <c r="E93" s="1053"/>
      <c r="F93" s="1053"/>
      <c r="G93" s="1053">
        <f t="shared" si="8"/>
        <v>0</v>
      </c>
      <c r="H93" s="1053"/>
      <c r="I93" s="1053">
        <f t="shared" si="9"/>
        <v>0</v>
      </c>
      <c r="J93" s="1053">
        <f t="shared" si="9"/>
        <v>0</v>
      </c>
      <c r="K93" s="1053">
        <f t="shared" si="9"/>
        <v>0</v>
      </c>
      <c r="L93" s="1053"/>
      <c r="M93" s="851">
        <v>0</v>
      </c>
      <c r="N93" s="851">
        <v>0</v>
      </c>
      <c r="O93" s="851">
        <v>0</v>
      </c>
      <c r="P93" s="1053"/>
      <c r="Q93" s="851">
        <v>0</v>
      </c>
      <c r="R93" s="851">
        <v>0</v>
      </c>
      <c r="S93" s="851">
        <v>0</v>
      </c>
    </row>
    <row r="94" spans="1:19">
      <c r="A94" s="1083">
        <f t="shared" si="10"/>
        <v>2.7799999999999834</v>
      </c>
      <c r="B94" s="851" t="s">
        <v>1318</v>
      </c>
      <c r="C94" s="1053">
        <f t="shared" si="6"/>
        <v>0</v>
      </c>
      <c r="D94" s="1053">
        <f t="shared" si="7"/>
        <v>0</v>
      </c>
      <c r="E94" s="1053"/>
      <c r="F94" s="1053"/>
      <c r="G94" s="1053">
        <f t="shared" si="8"/>
        <v>0</v>
      </c>
      <c r="H94" s="1053"/>
      <c r="I94" s="1053">
        <f t="shared" si="9"/>
        <v>0</v>
      </c>
      <c r="J94" s="1053">
        <f t="shared" si="9"/>
        <v>0</v>
      </c>
      <c r="K94" s="1053">
        <f t="shared" si="9"/>
        <v>0</v>
      </c>
      <c r="L94" s="1053"/>
      <c r="M94" s="851">
        <v>0</v>
      </c>
      <c r="N94" s="851">
        <v>0</v>
      </c>
      <c r="O94" s="851">
        <v>0</v>
      </c>
      <c r="P94" s="1053"/>
      <c r="Q94" s="851">
        <v>0</v>
      </c>
      <c r="R94" s="851">
        <v>0</v>
      </c>
      <c r="S94" s="851">
        <v>0</v>
      </c>
    </row>
    <row r="95" spans="1:19">
      <c r="A95" s="1083">
        <f t="shared" si="10"/>
        <v>2.7899999999999832</v>
      </c>
      <c r="B95" s="851" t="s">
        <v>1319</v>
      </c>
      <c r="C95" s="1053">
        <f t="shared" ref="C95:C101" si="11">SUM(M95:O95)</f>
        <v>1121522.7</v>
      </c>
      <c r="D95" s="1053">
        <f t="shared" ref="D95:D101" si="12">SUM(Q95:S95)</f>
        <v>640060.80000000005</v>
      </c>
      <c r="E95" s="1053"/>
      <c r="F95" s="1053"/>
      <c r="G95" s="1053">
        <f t="shared" ref="G95:G107" si="13">ROUND(SUM(C95:F95)/2,0)</f>
        <v>880792</v>
      </c>
      <c r="H95" s="1053"/>
      <c r="I95" s="1053">
        <f t="shared" ref="I95:I101" si="14">(M95+Q95)/2</f>
        <v>0</v>
      </c>
      <c r="J95" s="1053">
        <f t="shared" ref="J95:J101" si="15">(N95+R95)/2</f>
        <v>0</v>
      </c>
      <c r="K95" s="1053">
        <f t="shared" ref="K95:K101" si="16">(O95+S95)/2</f>
        <v>880791.75</v>
      </c>
      <c r="L95" s="1053"/>
      <c r="M95" s="851">
        <v>0</v>
      </c>
      <c r="N95" s="851">
        <v>0</v>
      </c>
      <c r="O95" s="851">
        <v>1121522.7</v>
      </c>
      <c r="P95" s="1053"/>
      <c r="Q95" s="851">
        <v>0</v>
      </c>
      <c r="R95" s="851">
        <v>0</v>
      </c>
      <c r="S95" s="851">
        <v>640060.80000000005</v>
      </c>
    </row>
    <row r="96" spans="1:19">
      <c r="A96" s="1083">
        <f t="shared" si="10"/>
        <v>2.7999999999999829</v>
      </c>
      <c r="B96" s="851" t="s">
        <v>1320</v>
      </c>
      <c r="C96" s="1053">
        <f t="shared" si="11"/>
        <v>0</v>
      </c>
      <c r="D96" s="1053">
        <f t="shared" si="12"/>
        <v>0</v>
      </c>
      <c r="E96" s="1053"/>
      <c r="F96" s="1053"/>
      <c r="G96" s="1053">
        <f t="shared" si="13"/>
        <v>0</v>
      </c>
      <c r="H96" s="1053"/>
      <c r="I96" s="1053">
        <f t="shared" si="14"/>
        <v>0</v>
      </c>
      <c r="J96" s="1053">
        <f t="shared" si="15"/>
        <v>0</v>
      </c>
      <c r="K96" s="1053">
        <f t="shared" si="16"/>
        <v>0</v>
      </c>
      <c r="L96" s="1053"/>
      <c r="M96" s="851">
        <v>0</v>
      </c>
      <c r="N96" s="851">
        <v>0</v>
      </c>
      <c r="O96" s="851">
        <v>0</v>
      </c>
      <c r="P96" s="1053"/>
      <c r="Q96" s="851">
        <v>0</v>
      </c>
      <c r="R96" s="851">
        <v>0</v>
      </c>
      <c r="S96" s="851">
        <v>0</v>
      </c>
    </row>
    <row r="97" spans="1:19">
      <c r="A97" s="1083">
        <f t="shared" si="10"/>
        <v>2.8099999999999827</v>
      </c>
      <c r="B97" s="851" t="s">
        <v>1321</v>
      </c>
      <c r="C97" s="1053">
        <f t="shared" si="11"/>
        <v>2875178.63</v>
      </c>
      <c r="D97" s="1053">
        <f t="shared" si="12"/>
        <v>1714753.76</v>
      </c>
      <c r="E97" s="1053"/>
      <c r="F97" s="1053"/>
      <c r="G97" s="1053">
        <f t="shared" si="13"/>
        <v>2294966</v>
      </c>
      <c r="H97" s="1053"/>
      <c r="I97" s="1053">
        <f t="shared" si="14"/>
        <v>646224.84499999997</v>
      </c>
      <c r="J97" s="1053">
        <f t="shared" si="15"/>
        <v>1216375.1599999999</v>
      </c>
      <c r="K97" s="1053">
        <f t="shared" si="16"/>
        <v>432366.19</v>
      </c>
      <c r="L97" s="1053"/>
      <c r="M97" s="851">
        <v>903028.79</v>
      </c>
      <c r="N97" s="851">
        <v>1452412.15</v>
      </c>
      <c r="O97" s="851">
        <v>519737.69</v>
      </c>
      <c r="P97" s="1053"/>
      <c r="Q97" s="851">
        <v>389420.9</v>
      </c>
      <c r="R97" s="851">
        <v>980338.17</v>
      </c>
      <c r="S97" s="851">
        <v>344994.69</v>
      </c>
    </row>
    <row r="98" spans="1:19">
      <c r="A98" s="1083">
        <f t="shared" si="10"/>
        <v>2.8199999999999825</v>
      </c>
      <c r="B98" s="851" t="s">
        <v>1322</v>
      </c>
      <c r="C98" s="1053">
        <f t="shared" si="11"/>
        <v>3174757</v>
      </c>
      <c r="D98" s="1053">
        <f t="shared" si="12"/>
        <v>0</v>
      </c>
      <c r="E98" s="1053"/>
      <c r="F98" s="1053"/>
      <c r="G98" s="1053">
        <f t="shared" si="13"/>
        <v>1587379</v>
      </c>
      <c r="H98" s="1053"/>
      <c r="I98" s="1053">
        <f t="shared" si="14"/>
        <v>1428474.5</v>
      </c>
      <c r="J98" s="1053">
        <f t="shared" si="15"/>
        <v>43897.5</v>
      </c>
      <c r="K98" s="1053">
        <f t="shared" si="16"/>
        <v>115006.5</v>
      </c>
      <c r="L98" s="1053"/>
      <c r="M98" s="851">
        <v>2856949</v>
      </c>
      <c r="N98" s="851">
        <v>87795</v>
      </c>
      <c r="O98" s="851">
        <v>230013</v>
      </c>
      <c r="P98" s="1053"/>
      <c r="Q98" s="851">
        <v>0</v>
      </c>
      <c r="R98" s="851">
        <v>0</v>
      </c>
      <c r="S98" s="851">
        <v>0</v>
      </c>
    </row>
    <row r="99" spans="1:19">
      <c r="A99" s="1083">
        <f t="shared" si="10"/>
        <v>2.8299999999999823</v>
      </c>
      <c r="B99" s="851" t="s">
        <v>1323</v>
      </c>
      <c r="C99" s="1053">
        <f t="shared" si="11"/>
        <v>4450347.8</v>
      </c>
      <c r="D99" s="1053">
        <f t="shared" si="12"/>
        <v>0</v>
      </c>
      <c r="E99" s="1053"/>
      <c r="F99" s="1053"/>
      <c r="G99" s="1053">
        <f t="shared" si="13"/>
        <v>2225174</v>
      </c>
      <c r="H99" s="1053"/>
      <c r="I99" s="1053">
        <f t="shared" si="14"/>
        <v>0</v>
      </c>
      <c r="J99" s="1053">
        <f t="shared" si="15"/>
        <v>0</v>
      </c>
      <c r="K99" s="1053">
        <f t="shared" si="16"/>
        <v>2225173.9</v>
      </c>
      <c r="L99" s="1053"/>
      <c r="M99" s="851">
        <v>0</v>
      </c>
      <c r="N99" s="851">
        <v>0</v>
      </c>
      <c r="O99" s="851">
        <v>4450347.8</v>
      </c>
      <c r="P99" s="1053"/>
      <c r="Q99" s="851">
        <v>0</v>
      </c>
      <c r="R99" s="851">
        <v>0</v>
      </c>
      <c r="S99" s="851">
        <v>0</v>
      </c>
    </row>
    <row r="100" spans="1:19">
      <c r="A100" s="1083">
        <f t="shared" si="10"/>
        <v>2.8399999999999821</v>
      </c>
      <c r="B100" s="851" t="s">
        <v>1324</v>
      </c>
      <c r="C100" s="1053">
        <f t="shared" si="11"/>
        <v>116182.78</v>
      </c>
      <c r="D100" s="1053">
        <f t="shared" si="12"/>
        <v>70327.460000000006</v>
      </c>
      <c r="E100" s="1053"/>
      <c r="F100" s="1053"/>
      <c r="G100" s="1053">
        <f t="shared" si="13"/>
        <v>93255</v>
      </c>
      <c r="H100" s="1053"/>
      <c r="I100" s="1053">
        <f t="shared" si="14"/>
        <v>7682.3649999999998</v>
      </c>
      <c r="J100" s="1053">
        <f t="shared" si="15"/>
        <v>0</v>
      </c>
      <c r="K100" s="1053">
        <f t="shared" si="16"/>
        <v>85572.755000000005</v>
      </c>
      <c r="L100" s="1053"/>
      <c r="M100" s="851">
        <v>10549.95</v>
      </c>
      <c r="N100" s="851">
        <v>0</v>
      </c>
      <c r="O100" s="851">
        <v>105632.83</v>
      </c>
      <c r="P100" s="1053"/>
      <c r="Q100" s="851">
        <v>4814.78</v>
      </c>
      <c r="R100" s="851">
        <v>0</v>
      </c>
      <c r="S100" s="851">
        <v>65512.68</v>
      </c>
    </row>
    <row r="101" spans="1:19">
      <c r="A101" s="1083">
        <f t="shared" si="10"/>
        <v>2.8499999999999819</v>
      </c>
      <c r="B101" s="851" t="s">
        <v>1325</v>
      </c>
      <c r="C101" s="1053">
        <f t="shared" si="11"/>
        <v>72105.02</v>
      </c>
      <c r="D101" s="1053">
        <f t="shared" si="12"/>
        <v>142760.35</v>
      </c>
      <c r="E101" s="1053"/>
      <c r="F101" s="1053"/>
      <c r="G101" s="1053">
        <f t="shared" si="13"/>
        <v>107433</v>
      </c>
      <c r="H101" s="1053"/>
      <c r="I101" s="1053">
        <f t="shared" si="14"/>
        <v>11677.82</v>
      </c>
      <c r="J101" s="1053">
        <f t="shared" si="15"/>
        <v>0</v>
      </c>
      <c r="K101" s="1053">
        <f t="shared" si="16"/>
        <v>95754.865000000005</v>
      </c>
      <c r="L101" s="1053"/>
      <c r="M101" s="851">
        <v>7199.2</v>
      </c>
      <c r="N101" s="851">
        <v>0</v>
      </c>
      <c r="O101" s="851">
        <v>64905.82</v>
      </c>
      <c r="P101" s="1053"/>
      <c r="Q101" s="851">
        <v>16156.44</v>
      </c>
      <c r="R101" s="851">
        <v>0</v>
      </c>
      <c r="S101" s="851">
        <v>126603.91</v>
      </c>
    </row>
    <row r="102" spans="1:19">
      <c r="A102" s="1083">
        <f t="shared" si="10"/>
        <v>2.8599999999999817</v>
      </c>
      <c r="B102" s="851" t="s">
        <v>1092</v>
      </c>
      <c r="C102" s="851">
        <f>-E102</f>
        <v>3081727</v>
      </c>
      <c r="D102" s="851">
        <f>-F102</f>
        <v>333437</v>
      </c>
      <c r="E102" s="1053">
        <v>-3081727</v>
      </c>
      <c r="F102" s="1053">
        <v>-333437</v>
      </c>
      <c r="G102" s="1053">
        <f t="shared" si="13"/>
        <v>0</v>
      </c>
      <c r="H102" s="1053"/>
      <c r="I102" s="1053"/>
      <c r="J102" s="1053"/>
      <c r="K102" s="1053"/>
      <c r="L102" s="1053"/>
      <c r="M102" s="1329"/>
      <c r="N102" s="1329"/>
      <c r="O102" s="1329"/>
      <c r="P102" s="1053"/>
      <c r="Q102" s="1329"/>
      <c r="R102" s="1329"/>
      <c r="S102" s="1329"/>
    </row>
    <row r="103" spans="1:19">
      <c r="A103" s="1083">
        <f t="shared" si="10"/>
        <v>2.8699999999999815</v>
      </c>
      <c r="B103" s="851" t="s">
        <v>1326</v>
      </c>
      <c r="C103" s="851">
        <f t="shared" ref="C103:C112" si="17">-E103</f>
        <v>58080184</v>
      </c>
      <c r="D103" s="851">
        <f t="shared" ref="D103:D112" si="18">-F103</f>
        <v>58375464</v>
      </c>
      <c r="E103" s="1053">
        <v>-58080184</v>
      </c>
      <c r="F103" s="1053">
        <v>-58375464</v>
      </c>
      <c r="G103" s="1053">
        <f t="shared" si="13"/>
        <v>0</v>
      </c>
      <c r="H103" s="1053"/>
      <c r="I103" s="1053"/>
      <c r="J103" s="1053"/>
      <c r="K103" s="1053"/>
      <c r="L103" s="1053"/>
      <c r="M103" s="1329"/>
      <c r="N103" s="1329"/>
      <c r="O103" s="1329"/>
      <c r="P103" s="1053"/>
      <c r="Q103" s="1329"/>
      <c r="R103" s="1329"/>
      <c r="S103" s="1329"/>
    </row>
    <row r="104" spans="1:19">
      <c r="A104" s="1083">
        <f t="shared" si="10"/>
        <v>2.8799999999999812</v>
      </c>
      <c r="B104" s="851" t="s">
        <v>1327</v>
      </c>
      <c r="C104" s="851">
        <f t="shared" si="17"/>
        <v>246763329</v>
      </c>
      <c r="D104" s="851">
        <f t="shared" si="18"/>
        <v>224231194</v>
      </c>
      <c r="E104" s="1053">
        <v>-246763329</v>
      </c>
      <c r="F104" s="1053">
        <v>-224231194</v>
      </c>
      <c r="G104" s="1053">
        <f t="shared" si="13"/>
        <v>0</v>
      </c>
      <c r="H104" s="1053"/>
      <c r="I104" s="1053"/>
      <c r="J104" s="1053"/>
      <c r="K104" s="1053"/>
      <c r="L104" s="1053"/>
      <c r="M104" s="1329"/>
      <c r="N104" s="1329"/>
      <c r="O104" s="1329"/>
      <c r="P104" s="1053"/>
      <c r="Q104" s="1329"/>
      <c r="R104" s="1329"/>
      <c r="S104" s="1329"/>
    </row>
    <row r="105" spans="1:19">
      <c r="A105" s="1083">
        <f t="shared" si="10"/>
        <v>2.889999999999981</v>
      </c>
      <c r="B105" s="851" t="s">
        <v>1328</v>
      </c>
      <c r="C105" s="851">
        <f t="shared" si="17"/>
        <v>0</v>
      </c>
      <c r="D105" s="851">
        <f t="shared" si="18"/>
        <v>0</v>
      </c>
      <c r="E105" s="1053">
        <v>0</v>
      </c>
      <c r="F105" s="1053">
        <v>0</v>
      </c>
      <c r="G105" s="1053">
        <f t="shared" si="13"/>
        <v>0</v>
      </c>
      <c r="H105" s="1053"/>
      <c r="I105" s="1053"/>
      <c r="J105" s="1053"/>
      <c r="K105" s="1053"/>
      <c r="L105" s="1053"/>
      <c r="M105" s="1329"/>
      <c r="N105" s="1329"/>
      <c r="O105" s="1329"/>
      <c r="P105" s="1053"/>
      <c r="Q105" s="1329"/>
      <c r="R105" s="1329"/>
      <c r="S105" s="1329"/>
    </row>
    <row r="106" spans="1:19">
      <c r="A106" s="1083">
        <f t="shared" si="10"/>
        <v>2.8999999999999808</v>
      </c>
      <c r="B106" s="851" t="s">
        <v>1329</v>
      </c>
      <c r="C106" s="851">
        <f t="shared" si="17"/>
        <v>0</v>
      </c>
      <c r="D106" s="851">
        <f t="shared" si="18"/>
        <v>0</v>
      </c>
      <c r="E106" s="1053">
        <v>0</v>
      </c>
      <c r="F106" s="1053">
        <v>0</v>
      </c>
      <c r="G106" s="1053">
        <f t="shared" si="13"/>
        <v>0</v>
      </c>
      <c r="H106" s="1053"/>
      <c r="I106" s="1053"/>
      <c r="J106" s="1053"/>
      <c r="K106" s="1053"/>
      <c r="L106" s="1053"/>
      <c r="M106" s="1329"/>
      <c r="N106" s="1329"/>
      <c r="O106" s="1329"/>
      <c r="P106" s="1053"/>
      <c r="Q106" s="1329"/>
      <c r="R106" s="1329"/>
      <c r="S106" s="1329"/>
    </row>
    <row r="107" spans="1:19">
      <c r="A107" s="1083">
        <f t="shared" si="10"/>
        <v>2.9099999999999806</v>
      </c>
      <c r="B107" s="851" t="s">
        <v>1330</v>
      </c>
      <c r="C107" s="851">
        <f t="shared" si="17"/>
        <v>0</v>
      </c>
      <c r="D107" s="851">
        <f t="shared" si="18"/>
        <v>0</v>
      </c>
      <c r="E107" s="1053">
        <v>0</v>
      </c>
      <c r="F107" s="1053">
        <v>0</v>
      </c>
      <c r="G107" s="1053">
        <f t="shared" si="13"/>
        <v>0</v>
      </c>
      <c r="H107" s="1053"/>
      <c r="I107" s="1053"/>
      <c r="J107" s="1053"/>
      <c r="K107" s="1053"/>
      <c r="L107" s="1053"/>
      <c r="M107" s="1329"/>
      <c r="N107" s="1329"/>
      <c r="O107" s="1329"/>
      <c r="P107" s="1053"/>
      <c r="Q107" s="1329"/>
      <c r="R107" s="1329"/>
      <c r="S107" s="1329"/>
    </row>
    <row r="108" spans="1:19">
      <c r="A108" s="1083">
        <f t="shared" si="10"/>
        <v>2.9199999999999804</v>
      </c>
      <c r="B108" s="851" t="s">
        <v>1331</v>
      </c>
      <c r="C108" s="851">
        <f t="shared" si="17"/>
        <v>-2538750</v>
      </c>
      <c r="D108" s="851">
        <f t="shared" si="18"/>
        <v>588609</v>
      </c>
      <c r="E108" s="1053">
        <v>2538750</v>
      </c>
      <c r="F108" s="1053">
        <v>-588609</v>
      </c>
      <c r="G108" s="1053">
        <f t="shared" si="8"/>
        <v>0</v>
      </c>
      <c r="H108" s="1053"/>
      <c r="I108" s="1053"/>
      <c r="J108" s="1053"/>
      <c r="K108" s="1053"/>
      <c r="L108" s="1053"/>
      <c r="M108" s="1053"/>
      <c r="N108" s="1053"/>
      <c r="O108" s="1053"/>
      <c r="P108" s="1053"/>
      <c r="Q108" s="1053"/>
      <c r="R108" s="1053"/>
      <c r="S108" s="1053"/>
    </row>
    <row r="109" spans="1:19">
      <c r="A109" s="1083">
        <f t="shared" si="10"/>
        <v>2.9299999999999802</v>
      </c>
      <c r="B109" s="851" t="s">
        <v>1332</v>
      </c>
      <c r="C109" s="851">
        <f t="shared" si="17"/>
        <v>0</v>
      </c>
      <c r="D109" s="851">
        <f t="shared" si="18"/>
        <v>0</v>
      </c>
      <c r="E109" s="1053">
        <v>0</v>
      </c>
      <c r="F109" s="1053">
        <v>0</v>
      </c>
      <c r="G109" s="1053">
        <f t="shared" si="8"/>
        <v>0</v>
      </c>
      <c r="H109" s="1053"/>
      <c r="I109" s="1053"/>
      <c r="J109" s="1053"/>
      <c r="K109" s="1053"/>
      <c r="L109" s="1053"/>
      <c r="M109" s="1053"/>
      <c r="N109" s="1053"/>
      <c r="O109" s="1053"/>
      <c r="P109" s="1053"/>
      <c r="Q109" s="1053"/>
      <c r="R109" s="1053"/>
      <c r="S109" s="1053"/>
    </row>
    <row r="110" spans="1:19">
      <c r="A110" s="1083">
        <f t="shared" si="10"/>
        <v>2.93999999999998</v>
      </c>
      <c r="B110" s="851" t="s">
        <v>1333</v>
      </c>
      <c r="C110" s="851">
        <f t="shared" si="17"/>
        <v>799404</v>
      </c>
      <c r="D110" s="851">
        <f t="shared" si="18"/>
        <v>756647</v>
      </c>
      <c r="E110" s="1053">
        <v>-799404</v>
      </c>
      <c r="F110" s="1053">
        <v>-756647</v>
      </c>
      <c r="G110" s="1053">
        <f t="shared" si="8"/>
        <v>0</v>
      </c>
      <c r="H110" s="1053"/>
      <c r="I110" s="1053"/>
      <c r="J110" s="1053"/>
      <c r="K110" s="1053"/>
      <c r="L110" s="1053"/>
      <c r="M110" s="1053"/>
      <c r="N110" s="1053"/>
      <c r="O110" s="1053"/>
      <c r="P110" s="1053"/>
      <c r="Q110" s="1053"/>
      <c r="R110" s="1053"/>
      <c r="S110" s="1053"/>
    </row>
    <row r="111" spans="1:19">
      <c r="A111" s="1083">
        <f t="shared" si="10"/>
        <v>2.9499999999999797</v>
      </c>
      <c r="B111" s="851" t="s">
        <v>1334</v>
      </c>
      <c r="C111" s="851">
        <f t="shared" si="17"/>
        <v>35878</v>
      </c>
      <c r="D111" s="851">
        <f t="shared" si="18"/>
        <v>33314</v>
      </c>
      <c r="E111" s="1053">
        <v>-35878</v>
      </c>
      <c r="F111" s="1053">
        <v>-33314</v>
      </c>
      <c r="G111" s="1053">
        <f t="shared" si="8"/>
        <v>0</v>
      </c>
      <c r="H111" s="1053"/>
      <c r="I111" s="1053"/>
      <c r="J111" s="1053"/>
      <c r="K111" s="1053"/>
      <c r="L111" s="1053"/>
      <c r="M111" s="1053"/>
      <c r="N111" s="1053"/>
      <c r="O111" s="1053"/>
      <c r="P111" s="1053"/>
      <c r="Q111" s="1053"/>
      <c r="R111" s="1053"/>
      <c r="S111" s="1053"/>
    </row>
    <row r="112" spans="1:19">
      <c r="A112" s="1083">
        <f t="shared" si="10"/>
        <v>2.9599999999999795</v>
      </c>
      <c r="B112" s="851" t="s">
        <v>1335</v>
      </c>
      <c r="C112" s="851">
        <f t="shared" si="17"/>
        <v>0</v>
      </c>
      <c r="D112" s="851">
        <f t="shared" si="18"/>
        <v>0</v>
      </c>
      <c r="E112" s="1053">
        <v>0</v>
      </c>
      <c r="F112" s="1053">
        <v>0</v>
      </c>
      <c r="G112" s="1053">
        <f t="shared" si="8"/>
        <v>0</v>
      </c>
      <c r="H112" s="1053"/>
      <c r="I112" s="1053"/>
      <c r="J112" s="1053"/>
      <c r="K112" s="1053"/>
      <c r="L112" s="1053"/>
      <c r="M112" s="1053"/>
      <c r="N112" s="1053"/>
      <c r="O112" s="1053"/>
      <c r="P112" s="1053"/>
      <c r="Q112" s="1053"/>
      <c r="R112" s="1053"/>
      <c r="S112" s="1053"/>
    </row>
    <row r="113" spans="1:256">
      <c r="A113" s="1083">
        <f t="shared" si="10"/>
        <v>2.9699999999999793</v>
      </c>
      <c r="B113" s="851" t="s">
        <v>1336</v>
      </c>
      <c r="C113" s="1053">
        <f>SUM(M113:O113)</f>
        <v>91360</v>
      </c>
      <c r="D113" s="1053">
        <f>SUM(Q113:S113)</f>
        <v>0</v>
      </c>
      <c r="E113" s="1053">
        <v>0</v>
      </c>
      <c r="F113" s="1053">
        <v>0</v>
      </c>
      <c r="G113" s="1053">
        <f t="shared" si="8"/>
        <v>45680</v>
      </c>
      <c r="H113" s="1053"/>
      <c r="I113" s="1053">
        <f>(M113+Q113)/2</f>
        <v>45680</v>
      </c>
      <c r="J113" s="1053">
        <f>(N113+R113)/2</f>
        <v>0</v>
      </c>
      <c r="K113" s="1053">
        <f>(O113+S113)/2</f>
        <v>0</v>
      </c>
      <c r="L113" s="1053"/>
      <c r="M113" s="1053">
        <v>91360</v>
      </c>
      <c r="N113" s="1053">
        <v>0</v>
      </c>
      <c r="O113" s="1053">
        <v>0</v>
      </c>
      <c r="P113" s="1053"/>
      <c r="Q113" s="1053">
        <v>0</v>
      </c>
      <c r="R113" s="1053">
        <v>0</v>
      </c>
      <c r="S113" s="1053">
        <v>0</v>
      </c>
    </row>
    <row r="114" spans="1:256">
      <c r="A114" s="1073"/>
      <c r="B114" s="1053"/>
      <c r="C114" s="1053"/>
      <c r="D114" s="1053"/>
      <c r="E114" s="1053"/>
      <c r="F114" s="1053"/>
      <c r="G114" s="1053"/>
      <c r="H114" s="1053"/>
      <c r="I114" s="1053"/>
      <c r="J114" s="1053"/>
      <c r="K114" s="1053"/>
      <c r="L114" s="1053"/>
      <c r="M114" s="1053"/>
      <c r="N114" s="1053"/>
      <c r="O114" s="1053"/>
      <c r="P114" s="1053"/>
      <c r="Q114" s="1053"/>
      <c r="R114" s="1053"/>
      <c r="S114" s="1053"/>
    </row>
    <row r="115" spans="1:256" ht="13.5" thickBot="1">
      <c r="A115" s="22">
        <v>3</v>
      </c>
      <c r="B115" s="1058" t="s">
        <v>751</v>
      </c>
      <c r="C115" s="1074">
        <f>SUM(C17:C114)</f>
        <v>605575889.8499999</v>
      </c>
      <c r="D115" s="1074">
        <f>SUM(D17:D114)</f>
        <v>468085800.61000001</v>
      </c>
      <c r="E115" s="1074">
        <f>SUM(E17:E114)</f>
        <v>-306221772</v>
      </c>
      <c r="F115" s="1074">
        <f>SUM(F17:F114)</f>
        <v>-284318665</v>
      </c>
      <c r="G115" s="1074">
        <f>SUM(G17:G114)</f>
        <v>241560627</v>
      </c>
      <c r="H115" s="1053"/>
      <c r="I115" s="1074">
        <f>SUM(I17:I114)</f>
        <v>114685622.55000001</v>
      </c>
      <c r="J115" s="1074">
        <f>SUM(J17:J114)</f>
        <v>51763825.00999999</v>
      </c>
      <c r="K115" s="1074">
        <f>SUM(K17:K114)</f>
        <v>75111179.169999987</v>
      </c>
      <c r="L115" s="1053"/>
      <c r="M115" s="1074">
        <f>SUM(M17:M114)</f>
        <v>142671444.25999999</v>
      </c>
      <c r="N115" s="1074">
        <f>SUM(N17:N114)</f>
        <v>64030741.600000001</v>
      </c>
      <c r="O115" s="1074">
        <f>SUM(O17:O114)</f>
        <v>92651931.989999995</v>
      </c>
      <c r="P115" s="1053"/>
      <c r="Q115" s="1074">
        <f>SUM(Q17:Q114)</f>
        <v>86699800.840000018</v>
      </c>
      <c r="R115" s="1074">
        <f>SUM(R17:R114)</f>
        <v>39496908.420000002</v>
      </c>
      <c r="S115" s="1074">
        <f>SUM(S17:S114)</f>
        <v>57570426.349999987</v>
      </c>
    </row>
    <row r="116" spans="1:256" ht="13.5" thickTop="1">
      <c r="A116" s="1">
        <v>4</v>
      </c>
      <c r="B116" s="1123" t="s">
        <v>754</v>
      </c>
      <c r="C116" s="1124">
        <f>C80+C81</f>
        <v>43772374.339999996</v>
      </c>
      <c r="D116" s="1124">
        <f t="shared" ref="D116:S116" si="19">D80+D81</f>
        <v>24358599.690000001</v>
      </c>
      <c r="E116" s="1124">
        <f t="shared" si="19"/>
        <v>0</v>
      </c>
      <c r="F116" s="1124">
        <f t="shared" si="19"/>
        <v>0</v>
      </c>
      <c r="G116" s="1124">
        <f t="shared" si="19"/>
        <v>34065487</v>
      </c>
      <c r="H116" s="6"/>
      <c r="I116" s="1124">
        <f t="shared" si="19"/>
        <v>33829029.620000005</v>
      </c>
      <c r="J116" s="1124">
        <f t="shared" si="19"/>
        <v>7102.5949999999993</v>
      </c>
      <c r="K116" s="1124">
        <f t="shared" si="19"/>
        <v>229354.8</v>
      </c>
      <c r="L116" s="6"/>
      <c r="M116" s="1124">
        <f t="shared" si="19"/>
        <v>43491155.189999998</v>
      </c>
      <c r="N116" s="1124">
        <f t="shared" si="19"/>
        <v>8673.5499999999993</v>
      </c>
      <c r="O116" s="1124">
        <f t="shared" si="19"/>
        <v>272545.59999999998</v>
      </c>
      <c r="P116" s="6"/>
      <c r="Q116" s="1124">
        <f t="shared" si="19"/>
        <v>24166904.050000001</v>
      </c>
      <c r="R116" s="1124">
        <f t="shared" si="19"/>
        <v>5531.64</v>
      </c>
      <c r="S116" s="1124">
        <f t="shared" si="19"/>
        <v>186164</v>
      </c>
      <c r="T116" s="6"/>
      <c r="IV116" s="1075"/>
    </row>
    <row r="117" spans="1:256">
      <c r="I117" s="1075"/>
    </row>
  </sheetData>
  <pageMargins left="0.7" right="0.7" top="0.75" bottom="0.75" header="0.3" footer="0.3"/>
  <pageSetup scale="3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42"/>
  <sheetViews>
    <sheetView view="pageBreakPreview" topLeftCell="A37" zoomScaleNormal="85" zoomScaleSheetLayoutView="100" workbookViewId="0">
      <selection activeCell="G63" sqref="G63:J63"/>
    </sheetView>
  </sheetViews>
  <sheetFormatPr defaultColWidth="11.42578125" defaultRowHeight="12.75"/>
  <cols>
    <col min="1" max="1" width="8.140625" style="69" customWidth="1"/>
    <col min="2" max="2" width="16.5703125" style="70" bestFit="1" customWidth="1"/>
    <col min="3" max="3" width="44.140625" style="70" customWidth="1"/>
    <col min="4" max="4" width="29.5703125" style="70" customWidth="1"/>
    <col min="5" max="5" width="24.42578125" style="79" customWidth="1"/>
    <col min="6" max="6" width="1" style="79" customWidth="1"/>
    <col min="7" max="7" width="20.85546875" style="70" customWidth="1"/>
    <col min="8" max="8" width="1" style="70" customWidth="1"/>
    <col min="9" max="9" width="19.140625" style="70" customWidth="1"/>
    <col min="10" max="10" width="16.5703125" style="70" customWidth="1"/>
    <col min="11" max="11" width="15.42578125" style="70" customWidth="1"/>
    <col min="12" max="12" width="33.5703125" style="70" customWidth="1"/>
    <col min="13" max="14" width="13.42578125" style="70" customWidth="1"/>
    <col min="15" max="15" width="13.5703125" style="70" customWidth="1"/>
    <col min="16" max="16384" width="11.42578125" style="70"/>
  </cols>
  <sheetData>
    <row r="1" spans="1:15" ht="15.75">
      <c r="A1" s="899" t="s">
        <v>115</v>
      </c>
    </row>
    <row r="2" spans="1:15" ht="15.75">
      <c r="A2" s="899" t="s">
        <v>115</v>
      </c>
    </row>
    <row r="3" spans="1:15" ht="15">
      <c r="A3" s="1399" t="str">
        <f>+'WS B ADIT &amp; ITC'!A3:I3</f>
        <v>AEP East Companies</v>
      </c>
      <c r="B3" s="1399"/>
      <c r="C3" s="1399"/>
      <c r="D3" s="1399"/>
      <c r="E3" s="1399"/>
      <c r="F3" s="1399"/>
      <c r="G3" s="1399"/>
      <c r="H3" s="1399"/>
      <c r="I3" s="1399"/>
      <c r="J3" s="1399"/>
      <c r="K3" s="1399"/>
      <c r="L3" s="1399"/>
      <c r="M3" s="38"/>
      <c r="N3" s="38"/>
      <c r="O3" s="38"/>
    </row>
    <row r="4" spans="1:15" ht="15">
      <c r="A4" s="1400" t="str">
        <f>"Cost of Service Formula Rate Using Actual/Projected FF1 Balances"</f>
        <v>Cost of Service Formula Rate Using Actual/Projected FF1 Balances</v>
      </c>
      <c r="B4" s="1400"/>
      <c r="C4" s="1400"/>
      <c r="D4" s="1400"/>
      <c r="E4" s="1400"/>
      <c r="F4" s="1400"/>
      <c r="G4" s="1400"/>
      <c r="H4" s="1400"/>
      <c r="I4" s="1400"/>
      <c r="J4" s="1400"/>
      <c r="K4" s="1400"/>
      <c r="L4" s="1400"/>
      <c r="M4" s="97"/>
      <c r="N4" s="97"/>
      <c r="O4" s="97"/>
    </row>
    <row r="5" spans="1:15" ht="15">
      <c r="A5" s="1400" t="s">
        <v>496</v>
      </c>
      <c r="B5" s="1400"/>
      <c r="C5" s="1400"/>
      <c r="D5" s="1400"/>
      <c r="E5" s="1400"/>
      <c r="F5" s="1400"/>
      <c r="G5" s="1400"/>
      <c r="H5" s="1400"/>
      <c r="I5" s="1400"/>
      <c r="J5" s="1400"/>
      <c r="K5" s="1400"/>
      <c r="L5" s="1400"/>
      <c r="M5" s="96"/>
      <c r="N5" s="96"/>
      <c r="O5" s="96"/>
    </row>
    <row r="6" spans="1:15" ht="15">
      <c r="A6" s="1411" t="str">
        <f>TCOS!F9</f>
        <v>Appalachian Power Company</v>
      </c>
      <c r="B6" s="1411"/>
      <c r="C6" s="1411"/>
      <c r="D6" s="1411"/>
      <c r="E6" s="1411"/>
      <c r="F6" s="1411"/>
      <c r="G6" s="1411"/>
      <c r="H6" s="1411"/>
      <c r="I6" s="1411"/>
      <c r="J6" s="1411"/>
      <c r="K6" s="1411"/>
      <c r="L6" s="1411"/>
      <c r="M6" s="4"/>
      <c r="N6" s="4"/>
      <c r="O6" s="4"/>
    </row>
    <row r="7" spans="1:15" ht="15">
      <c r="A7" s="4"/>
      <c r="B7" s="4"/>
      <c r="C7" s="4"/>
      <c r="D7" s="4"/>
      <c r="E7" s="4"/>
      <c r="F7" s="4"/>
      <c r="G7" s="4"/>
      <c r="H7" s="3"/>
      <c r="I7" s="68"/>
      <c r="J7" s="68"/>
      <c r="K7" s="68"/>
      <c r="L7" s="68"/>
      <c r="M7" s="68"/>
      <c r="N7" s="68"/>
      <c r="O7" s="68"/>
    </row>
    <row r="8" spans="1:15" ht="12.75" customHeight="1">
      <c r="A8" s="94"/>
      <c r="B8" s="94" t="s">
        <v>163</v>
      </c>
      <c r="C8" s="94" t="s">
        <v>164</v>
      </c>
      <c r="D8" s="92" t="s">
        <v>4</v>
      </c>
      <c r="E8" s="92" t="s">
        <v>166</v>
      </c>
      <c r="F8" s="94"/>
      <c r="G8" s="94" t="s">
        <v>84</v>
      </c>
      <c r="H8" s="94"/>
      <c r="I8" s="94" t="s">
        <v>85</v>
      </c>
      <c r="J8" s="94" t="s">
        <v>86</v>
      </c>
      <c r="K8" s="94" t="s">
        <v>91</v>
      </c>
      <c r="L8" s="94" t="s">
        <v>501</v>
      </c>
      <c r="M8" s="94"/>
      <c r="N8" s="94"/>
      <c r="O8" s="94"/>
    </row>
    <row r="9" spans="1:15">
      <c r="A9" s="67"/>
    </row>
    <row r="10" spans="1:15" ht="18">
      <c r="A10" s="91"/>
      <c r="B10" s="1413" t="s">
        <v>208</v>
      </c>
      <c r="C10" s="1413"/>
      <c r="D10" s="1413"/>
      <c r="E10" s="1413"/>
      <c r="F10" s="1413"/>
      <c r="G10" s="1413"/>
      <c r="H10" s="1413"/>
      <c r="I10" s="1413"/>
      <c r="J10" s="1413"/>
      <c r="K10" s="1413"/>
      <c r="O10" s="79"/>
    </row>
    <row r="11" spans="1:15">
      <c r="A11" s="91"/>
      <c r="I11" s="16"/>
      <c r="J11" s="16"/>
      <c r="O11" s="79"/>
    </row>
    <row r="12" spans="1:15" ht="12.75" customHeight="1">
      <c r="A12" s="12" t="s">
        <v>170</v>
      </c>
      <c r="B12" s="72"/>
      <c r="C12" s="80"/>
      <c r="D12" s="196"/>
      <c r="E12" s="1416" t="str">
        <f>"Balance @ December 31, "&amp;TCOS!L4&amp;""</f>
        <v>Balance @ December 31, 2018</v>
      </c>
      <c r="F12" s="196"/>
      <c r="G12" s="1416" t="str">
        <f>"Balance @ December 31, "&amp;TCOS!L4-1&amp;""</f>
        <v>Balance @ December 31, 2017</v>
      </c>
      <c r="H12" s="243"/>
      <c r="I12" s="1412" t="str">
        <f>"Average Balance for "&amp;TCOS!L4&amp;""</f>
        <v>Average Balance for 2018</v>
      </c>
      <c r="J12" s="103"/>
      <c r="K12" s="75"/>
      <c r="L12" s="81"/>
      <c r="M12" s="75"/>
      <c r="N12" s="75"/>
      <c r="O12" s="79"/>
    </row>
    <row r="13" spans="1:15">
      <c r="A13" s="12" t="s">
        <v>106</v>
      </c>
      <c r="B13" s="76"/>
      <c r="C13" s="72"/>
      <c r="D13" s="197" t="s">
        <v>207</v>
      </c>
      <c r="E13" s="1417"/>
      <c r="F13" s="198"/>
      <c r="G13" s="1417"/>
      <c r="H13" s="199"/>
      <c r="I13" s="1410"/>
      <c r="J13" s="103"/>
      <c r="K13" s="82"/>
      <c r="L13" s="83"/>
      <c r="M13" s="73"/>
      <c r="N13" s="73"/>
    </row>
    <row r="14" spans="1:15">
      <c r="A14" s="76"/>
      <c r="B14" s="76"/>
      <c r="C14" s="72"/>
      <c r="D14" s="78"/>
      <c r="E14" s="71"/>
      <c r="F14" s="71"/>
      <c r="G14" s="216"/>
      <c r="H14" s="77"/>
      <c r="J14" s="16"/>
      <c r="K14" s="82"/>
      <c r="L14" s="83"/>
      <c r="M14" s="73"/>
      <c r="N14" s="73"/>
    </row>
    <row r="15" spans="1:15">
      <c r="A15" s="76">
        <v>1</v>
      </c>
      <c r="B15" s="76"/>
      <c r="D15" s="61"/>
      <c r="E15" s="30"/>
      <c r="F15" s="30"/>
      <c r="G15" s="30"/>
      <c r="H15" s="30"/>
      <c r="I15" s="30"/>
      <c r="K15" s="30"/>
      <c r="L15" s="30"/>
      <c r="M15" s="73"/>
      <c r="N15" s="73"/>
    </row>
    <row r="16" spans="1:15">
      <c r="A16" s="76"/>
      <c r="B16" s="76"/>
      <c r="C16" s="61"/>
      <c r="D16" s="61"/>
      <c r="E16" s="30"/>
      <c r="F16" s="30"/>
      <c r="G16" s="30"/>
      <c r="H16" s="30"/>
      <c r="I16" s="30"/>
      <c r="K16" s="30"/>
      <c r="L16" s="30"/>
      <c r="M16" s="73"/>
      <c r="N16" s="73"/>
    </row>
    <row r="17" spans="1:14">
      <c r="A17" s="76">
        <f>+A15+1</f>
        <v>2</v>
      </c>
      <c r="B17" s="76"/>
      <c r="C17" s="61" t="s">
        <v>527</v>
      </c>
      <c r="D17" s="74" t="s">
        <v>436</v>
      </c>
      <c r="E17" s="853">
        <v>680936</v>
      </c>
      <c r="F17" s="30"/>
      <c r="G17" s="853">
        <v>4458854</v>
      </c>
      <c r="H17" s="30"/>
      <c r="I17" s="135">
        <f>IF(G17="",0,(E17+G17)/2)</f>
        <v>2569895</v>
      </c>
      <c r="J17"/>
      <c r="K17" s="135"/>
      <c r="L17" s="30"/>
      <c r="M17" s="73"/>
      <c r="N17" s="73"/>
    </row>
    <row r="18" spans="1:14">
      <c r="A18" s="76"/>
      <c r="B18" s="76"/>
      <c r="C18" s="61"/>
      <c r="D18"/>
      <c r="E18"/>
      <c r="F18"/>
      <c r="G18"/>
      <c r="H18"/>
      <c r="I18" s="5"/>
      <c r="J18"/>
      <c r="K18"/>
      <c r="L18" s="30"/>
      <c r="M18" s="73"/>
      <c r="N18" s="73"/>
    </row>
    <row r="19" spans="1:14">
      <c r="A19" s="76">
        <f>+A17+1</f>
        <v>3</v>
      </c>
      <c r="B19" s="76"/>
      <c r="C19" s="61" t="s">
        <v>529</v>
      </c>
      <c r="D19" s="74" t="s">
        <v>437</v>
      </c>
      <c r="E19" s="853">
        <v>334258</v>
      </c>
      <c r="F19" s="30"/>
      <c r="G19" s="853">
        <v>216219</v>
      </c>
      <c r="H19" s="77"/>
      <c r="I19" s="135">
        <f>IF(G19="",0,(E19+G19)/2)</f>
        <v>275238.5</v>
      </c>
      <c r="J19" s="16"/>
      <c r="K19" s="82"/>
      <c r="L19" s="83"/>
      <c r="M19" s="73"/>
      <c r="N19" s="73"/>
    </row>
    <row r="20" spans="1:14">
      <c r="A20" s="76"/>
      <c r="B20" s="76"/>
      <c r="C20" s="61"/>
      <c r="D20" s="74"/>
      <c r="E20"/>
      <c r="F20"/>
      <c r="G20"/>
      <c r="H20"/>
      <c r="I20"/>
      <c r="J20"/>
      <c r="K20" s="82"/>
      <c r="L20" s="83"/>
      <c r="M20" s="73"/>
      <c r="N20" s="73"/>
    </row>
    <row r="21" spans="1:14">
      <c r="A21" s="76">
        <f>+A19+1</f>
        <v>4</v>
      </c>
      <c r="B21" s="76"/>
      <c r="C21" s="61" t="s">
        <v>771</v>
      </c>
      <c r="D21" s="74" t="s">
        <v>438</v>
      </c>
      <c r="E21" s="853"/>
      <c r="F21" s="30"/>
      <c r="G21" s="853"/>
      <c r="H21" s="77"/>
      <c r="I21" s="135">
        <f>IF(G21="",0,(E21+G21)/2)</f>
        <v>0</v>
      </c>
      <c r="J21" s="16"/>
      <c r="K21" s="82"/>
      <c r="L21" s="83"/>
      <c r="M21" s="73"/>
      <c r="N21" s="73"/>
    </row>
    <row r="22" spans="1:14">
      <c r="A22" s="76"/>
      <c r="B22" s="76"/>
      <c r="C22" s="72"/>
      <c r="D22" s="78"/>
      <c r="E22" s="71"/>
      <c r="F22" s="71"/>
      <c r="G22" s="79"/>
      <c r="H22" s="77"/>
      <c r="I22" s="79"/>
      <c r="J22" s="16"/>
      <c r="K22" s="82"/>
      <c r="L22" s="83"/>
      <c r="M22" s="73"/>
      <c r="N22" s="73"/>
    </row>
    <row r="23" spans="1:14">
      <c r="A23" s="186"/>
      <c r="B23" s="186"/>
      <c r="C23" s="187"/>
      <c r="D23" s="188"/>
      <c r="E23" s="189"/>
      <c r="F23" s="189"/>
      <c r="G23" s="190"/>
      <c r="H23" s="191"/>
      <c r="I23" s="190"/>
      <c r="J23" s="192"/>
      <c r="K23" s="193"/>
      <c r="L23" s="194"/>
      <c r="M23" s="73"/>
      <c r="N23" s="73"/>
    </row>
    <row r="24" spans="1:14" ht="18">
      <c r="A24" s="76"/>
      <c r="B24" s="1413" t="s">
        <v>770</v>
      </c>
      <c r="C24" s="1413"/>
      <c r="D24" s="1413"/>
      <c r="E24" s="1413"/>
      <c r="F24" s="1413"/>
      <c r="G24" s="1413"/>
      <c r="H24" s="1413"/>
      <c r="I24" s="1413"/>
      <c r="J24" s="1413"/>
      <c r="K24" s="1413"/>
      <c r="L24" s="83"/>
      <c r="M24" s="73"/>
      <c r="N24" s="73"/>
    </row>
    <row r="25" spans="1:14" ht="12.75" customHeight="1">
      <c r="A25" s="76"/>
      <c r="B25" s="148"/>
      <c r="C25" s="72"/>
      <c r="D25" s="24"/>
      <c r="E25" s="10"/>
      <c r="F25" s="70"/>
      <c r="G25" s="10" t="s">
        <v>87</v>
      </c>
      <c r="I25" s="8" t="s">
        <v>116</v>
      </c>
      <c r="J25" s="8" t="s">
        <v>116</v>
      </c>
      <c r="K25" s="8" t="s">
        <v>180</v>
      </c>
      <c r="L25" s="83"/>
      <c r="M25" s="73"/>
      <c r="N25" s="73"/>
    </row>
    <row r="26" spans="1:14" ht="12.75" customHeight="1">
      <c r="A26" s="76"/>
      <c r="B26" s="148"/>
      <c r="C26" s="72"/>
      <c r="D26" s="145" t="s">
        <v>502</v>
      </c>
      <c r="E26" s="8" t="s">
        <v>531</v>
      </c>
      <c r="F26" s="70"/>
      <c r="G26" s="8" t="s">
        <v>116</v>
      </c>
      <c r="I26" s="8" t="s">
        <v>524</v>
      </c>
      <c r="J26" s="8" t="s">
        <v>162</v>
      </c>
      <c r="K26" s="8" t="s">
        <v>181</v>
      </c>
      <c r="L26" s="83"/>
      <c r="M26" s="73"/>
      <c r="N26" s="73"/>
    </row>
    <row r="27" spans="1:14" ht="12.75" customHeight="1">
      <c r="A27" s="76">
        <f>+A21+1</f>
        <v>5</v>
      </c>
      <c r="B27" s="148"/>
      <c r="C27" s="72"/>
      <c r="D27" s="13" t="s">
        <v>88</v>
      </c>
      <c r="E27" s="13" t="s">
        <v>503</v>
      </c>
      <c r="F27" s="70"/>
      <c r="G27" s="13" t="s">
        <v>525</v>
      </c>
      <c r="I27" s="13" t="s">
        <v>525</v>
      </c>
      <c r="J27" s="13" t="s">
        <v>525</v>
      </c>
      <c r="K27" s="13" t="s">
        <v>526</v>
      </c>
      <c r="L27" s="83"/>
      <c r="M27" s="73"/>
      <c r="N27" s="73"/>
    </row>
    <row r="28" spans="1:14">
      <c r="A28" s="76"/>
      <c r="B28" s="76"/>
      <c r="C28" s="72"/>
      <c r="D28" s="78"/>
      <c r="E28" s="71"/>
      <c r="F28" s="71"/>
      <c r="G28" s="79"/>
      <c r="H28" s="77"/>
      <c r="I28" s="79"/>
      <c r="J28" s="16"/>
      <c r="K28" s="217"/>
      <c r="L28" s="83"/>
      <c r="M28" s="73"/>
      <c r="N28" s="73"/>
    </row>
    <row r="29" spans="1:14">
      <c r="A29" s="76">
        <f>+A27+1</f>
        <v>6</v>
      </c>
      <c r="B29" s="76"/>
      <c r="C29" s="70" t="str">
        <f>"Totals as of December 31, "&amp;TCOS!L4&amp;""</f>
        <v>Totals as of December 31, 2018</v>
      </c>
      <c r="D29" s="149">
        <f>ROUND(D63,0)</f>
        <v>14776511</v>
      </c>
      <c r="E29" s="224">
        <f>ROUND(E63,0)</f>
        <v>-215807173</v>
      </c>
      <c r="F29" s="150"/>
      <c r="G29" s="149">
        <f>ROUND(G63,0)</f>
        <v>0</v>
      </c>
      <c r="H29" s="77"/>
      <c r="I29" s="149">
        <f>ROUND(I63,0)</f>
        <v>5016467</v>
      </c>
      <c r="J29" s="151">
        <f>+J63</f>
        <v>225567216.12</v>
      </c>
      <c r="K29" s="149">
        <f>ROUND(K63,0)</f>
        <v>230583683</v>
      </c>
      <c r="L29" s="83"/>
      <c r="M29" s="73"/>
      <c r="N29" s="73"/>
    </row>
    <row r="30" spans="1:14">
      <c r="A30" s="76">
        <f>+A29+1</f>
        <v>7</v>
      </c>
      <c r="B30" s="76"/>
      <c r="C30" s="70" t="str">
        <f>"Totals as of December 31, "&amp;TCOS!L4-1&amp;""</f>
        <v>Totals as of December 31, 2017</v>
      </c>
      <c r="D30" s="154">
        <f>IF(D96="","",D96)</f>
        <v>9029563</v>
      </c>
      <c r="E30" s="225">
        <f>IF(E96="","",E96)</f>
        <v>-211337418</v>
      </c>
      <c r="F30" s="71"/>
      <c r="G30" s="154" t="str">
        <f>IF(G96="","",G96)</f>
        <v/>
      </c>
      <c r="H30" s="77"/>
      <c r="I30" s="154">
        <f>IF(I96="","",I96)</f>
        <v>4299244</v>
      </c>
      <c r="J30" s="154">
        <f>IF(J96="","",J96)</f>
        <v>216067738</v>
      </c>
      <c r="K30" s="154">
        <f>IF(K96="","",K96)</f>
        <v>220366982</v>
      </c>
      <c r="L30" s="83"/>
      <c r="M30" s="73"/>
      <c r="N30" s="73"/>
    </row>
    <row r="31" spans="1:14" ht="13.5" thickBot="1">
      <c r="A31" s="76">
        <f>+A30+1</f>
        <v>8</v>
      </c>
      <c r="B31" s="76"/>
      <c r="C31" s="99" t="s">
        <v>214</v>
      </c>
      <c r="D31" s="155">
        <f>IF(D30="",0,(D29+D30)/2)</f>
        <v>11903037</v>
      </c>
      <c r="E31" s="155">
        <f>IF(E30="",0,(E29+E30)/2)</f>
        <v>-213572295.5</v>
      </c>
      <c r="F31" s="156"/>
      <c r="G31" s="155">
        <f>IF(G30="",0,(G29+G30)/2)</f>
        <v>0</v>
      </c>
      <c r="H31" s="93"/>
      <c r="I31" s="155">
        <f>IF(I30="",0,(I29+I30)/2)</f>
        <v>4657855.5</v>
      </c>
      <c r="J31" s="155">
        <f>IF(J30="",0,(J29+J30)/2)</f>
        <v>220817477.06</v>
      </c>
      <c r="K31" s="155">
        <f>IF(K30="",0,(K29+K30)/2)</f>
        <v>225475332.5</v>
      </c>
      <c r="L31" s="83"/>
      <c r="M31" s="73"/>
      <c r="N31" s="73"/>
    </row>
    <row r="32" spans="1:14" ht="13.5" thickTop="1">
      <c r="A32" s="76"/>
      <c r="B32" s="76"/>
      <c r="D32" s="78"/>
      <c r="E32" s="71"/>
      <c r="F32" s="71"/>
      <c r="G32" s="79"/>
      <c r="H32" s="77"/>
      <c r="I32" s="79"/>
      <c r="J32" s="16"/>
      <c r="K32" s="82"/>
      <c r="L32" s="83"/>
      <c r="M32" s="73"/>
      <c r="N32" s="73"/>
    </row>
    <row r="33" spans="1:14">
      <c r="A33" s="70"/>
      <c r="E33" s="70"/>
      <c r="F33" s="70"/>
      <c r="J33" s="16"/>
      <c r="K33" s="82"/>
      <c r="L33" s="83"/>
      <c r="M33" s="73"/>
      <c r="N33" s="73"/>
    </row>
    <row r="34" spans="1:14" ht="18">
      <c r="A34" s="76"/>
      <c r="B34" s="1415" t="str">
        <f>"Prepayments Account 165 - Balance @ 12/31/"&amp;D36&amp;""</f>
        <v>Prepayments Account 165 - Balance @ 12/31/2018</v>
      </c>
      <c r="C34" s="1418"/>
      <c r="D34" s="1418"/>
      <c r="E34" s="1418"/>
      <c r="F34" s="1418"/>
      <c r="G34" s="1418"/>
      <c r="H34" s="1418"/>
      <c r="I34" s="1418"/>
      <c r="J34" s="1418"/>
      <c r="K34" s="82"/>
      <c r="L34" s="83"/>
      <c r="M34" s="73"/>
      <c r="N34" s="73"/>
    </row>
    <row r="35" spans="1:14">
      <c r="A35" s="76"/>
      <c r="B35" s="141"/>
      <c r="C35" s="143"/>
      <c r="D35" s="24"/>
      <c r="E35" s="10"/>
      <c r="F35" s="70"/>
      <c r="G35" s="10" t="s">
        <v>87</v>
      </c>
      <c r="I35" s="8" t="s">
        <v>116</v>
      </c>
      <c r="J35" s="8" t="s">
        <v>116</v>
      </c>
      <c r="K35" s="8" t="s">
        <v>180</v>
      </c>
      <c r="L35"/>
      <c r="M35" s="73"/>
      <c r="N35" s="73"/>
    </row>
    <row r="36" spans="1:14">
      <c r="A36" s="76"/>
      <c r="B36" s="141"/>
      <c r="C36" s="144"/>
      <c r="D36" s="145" t="str">
        <f>""&amp;TCOS!L4</f>
        <v>2018</v>
      </c>
      <c r="E36" s="8" t="s">
        <v>531</v>
      </c>
      <c r="F36" s="70"/>
      <c r="G36" s="8" t="s">
        <v>116</v>
      </c>
      <c r="I36" s="8" t="s">
        <v>524</v>
      </c>
      <c r="J36" s="8" t="s">
        <v>162</v>
      </c>
      <c r="K36" s="8" t="s">
        <v>181</v>
      </c>
      <c r="L36"/>
      <c r="M36" s="73"/>
      <c r="N36" s="73"/>
    </row>
    <row r="37" spans="1:14">
      <c r="A37" s="76">
        <f>+A31+1</f>
        <v>9</v>
      </c>
      <c r="B37" s="13" t="s">
        <v>90</v>
      </c>
      <c r="C37" s="13" t="s">
        <v>168</v>
      </c>
      <c r="D37" s="13" t="s">
        <v>88</v>
      </c>
      <c r="E37" s="13" t="s">
        <v>503</v>
      </c>
      <c r="F37" s="70"/>
      <c r="G37" s="13" t="s">
        <v>525</v>
      </c>
      <c r="I37" s="13" t="s">
        <v>525</v>
      </c>
      <c r="J37" s="13" t="s">
        <v>525</v>
      </c>
      <c r="K37" s="13" t="s">
        <v>526</v>
      </c>
      <c r="L37" s="13" t="s">
        <v>39</v>
      </c>
      <c r="M37" s="73"/>
      <c r="N37" s="73"/>
    </row>
    <row r="38" spans="1:14">
      <c r="A38" s="76"/>
      <c r="B38" s="141"/>
      <c r="C38" s="143"/>
      <c r="D38" s="143"/>
      <c r="E38" s="143"/>
      <c r="F38" s="70"/>
      <c r="G38" s="143"/>
      <c r="I38" s="143"/>
      <c r="J38" s="143"/>
      <c r="K38" s="217"/>
      <c r="L38"/>
      <c r="M38" s="73"/>
      <c r="N38" s="73"/>
    </row>
    <row r="39" spans="1:14" ht="14.25">
      <c r="A39" s="76">
        <f>+A37+1</f>
        <v>10</v>
      </c>
      <c r="B39" s="854" t="s">
        <v>885</v>
      </c>
      <c r="C39" s="855" t="s">
        <v>886</v>
      </c>
      <c r="D39" s="856">
        <v>2196648.19</v>
      </c>
      <c r="E39" s="101">
        <f>+D39-K39</f>
        <v>0</v>
      </c>
      <c r="F39" s="70"/>
      <c r="G39" s="107"/>
      <c r="I39" s="107">
        <f>+D39</f>
        <v>2196648.19</v>
      </c>
      <c r="J39" s="107"/>
      <c r="K39" s="107">
        <f t="shared" ref="K39:K46" si="0">+G39+I39+J39</f>
        <v>2196648.19</v>
      </c>
      <c r="L39" t="s">
        <v>532</v>
      </c>
      <c r="M39" s="73"/>
      <c r="N39" s="73"/>
    </row>
    <row r="40" spans="1:14" ht="14.25">
      <c r="A40" s="76">
        <f t="shared" ref="A40:A52" si="1">+A39+1</f>
        <v>11</v>
      </c>
      <c r="B40" s="857">
        <v>165000218</v>
      </c>
      <c r="C40" s="855" t="s">
        <v>887</v>
      </c>
      <c r="D40" s="856">
        <v>1753777.8</v>
      </c>
      <c r="E40" s="101">
        <f t="shared" ref="E40:E61" si="2">+D40-K40</f>
        <v>1753777.8</v>
      </c>
      <c r="F40" s="70"/>
      <c r="G40" s="107"/>
      <c r="I40" s="107"/>
      <c r="J40" s="107"/>
      <c r="K40" s="107">
        <f t="shared" si="0"/>
        <v>0</v>
      </c>
      <c r="L40" s="70" t="s">
        <v>922</v>
      </c>
      <c r="M40" s="73"/>
      <c r="N40" s="73"/>
    </row>
    <row r="41" spans="1:14" ht="14.25">
      <c r="A41" s="76">
        <f t="shared" si="1"/>
        <v>12</v>
      </c>
      <c r="B41" s="857">
        <v>165000219</v>
      </c>
      <c r="C41" s="855" t="s">
        <v>887</v>
      </c>
      <c r="D41" s="856">
        <v>728125.82000000007</v>
      </c>
      <c r="E41" s="101">
        <f t="shared" si="2"/>
        <v>0</v>
      </c>
      <c r="F41" s="70"/>
      <c r="G41" s="107"/>
      <c r="I41" s="107">
        <f>D41</f>
        <v>728125.82000000007</v>
      </c>
      <c r="J41" s="107"/>
      <c r="K41" s="107">
        <f t="shared" si="0"/>
        <v>728125.82000000007</v>
      </c>
      <c r="L41" s="70" t="s">
        <v>1019</v>
      </c>
      <c r="M41" s="73"/>
      <c r="N41" s="73"/>
    </row>
    <row r="42" spans="1:14" ht="14.25">
      <c r="A42" s="76">
        <f t="shared" si="1"/>
        <v>13</v>
      </c>
      <c r="B42" s="1321" t="s">
        <v>888</v>
      </c>
      <c r="C42" s="855" t="s">
        <v>889</v>
      </c>
      <c r="D42" s="856">
        <v>24133</v>
      </c>
      <c r="E42" s="101">
        <f t="shared" si="2"/>
        <v>24133</v>
      </c>
      <c r="F42" s="70"/>
      <c r="G42" s="107"/>
      <c r="I42" s="107"/>
      <c r="J42" s="107"/>
      <c r="K42" s="107">
        <f t="shared" si="0"/>
        <v>0</v>
      </c>
      <c r="L42" s="6" t="s">
        <v>889</v>
      </c>
      <c r="M42" s="73"/>
      <c r="N42" s="73"/>
    </row>
    <row r="43" spans="1:14" ht="14.25">
      <c r="A43" s="76">
        <f t="shared" si="1"/>
        <v>14</v>
      </c>
      <c r="B43" s="854" t="s">
        <v>892</v>
      </c>
      <c r="C43" s="855" t="s">
        <v>893</v>
      </c>
      <c r="D43" s="856">
        <v>323571.5</v>
      </c>
      <c r="E43" s="101">
        <f t="shared" si="2"/>
        <v>323571.5</v>
      </c>
      <c r="F43" s="70"/>
      <c r="G43" s="138"/>
      <c r="I43" s="138"/>
      <c r="J43" s="138"/>
      <c r="K43" s="138">
        <f t="shared" si="0"/>
        <v>0</v>
      </c>
      <c r="L43" s="21" t="s">
        <v>1029</v>
      </c>
      <c r="M43" s="73"/>
      <c r="N43" s="73"/>
    </row>
    <row r="44" spans="1:14" ht="14.25">
      <c r="A44" s="76">
        <f t="shared" si="1"/>
        <v>15</v>
      </c>
      <c r="B44" s="854" t="s">
        <v>894</v>
      </c>
      <c r="C44" s="855" t="s">
        <v>895</v>
      </c>
      <c r="D44" s="856">
        <v>147568.01</v>
      </c>
      <c r="E44" s="101">
        <f t="shared" si="2"/>
        <v>147568.01</v>
      </c>
      <c r="F44" s="70"/>
      <c r="G44" s="107"/>
      <c r="I44" s="107"/>
      <c r="J44" s="107"/>
      <c r="K44" s="138">
        <f t="shared" si="0"/>
        <v>0</v>
      </c>
      <c r="L44" s="21" t="s">
        <v>923</v>
      </c>
      <c r="M44" s="73"/>
      <c r="N44" s="73"/>
    </row>
    <row r="45" spans="1:14" ht="14.25">
      <c r="A45" s="76">
        <f t="shared" si="1"/>
        <v>16</v>
      </c>
      <c r="B45" s="1321" t="s">
        <v>1017</v>
      </c>
      <c r="C45" s="855" t="s">
        <v>1018</v>
      </c>
      <c r="D45" s="856">
        <v>7500000</v>
      </c>
      <c r="E45" s="101">
        <f t="shared" si="2"/>
        <v>7500000</v>
      </c>
      <c r="F45" s="70"/>
      <c r="G45" s="107"/>
      <c r="I45" s="107"/>
      <c r="J45" s="107"/>
      <c r="K45" s="138">
        <f t="shared" si="0"/>
        <v>0</v>
      </c>
      <c r="L45" s="5" t="s">
        <v>1020</v>
      </c>
      <c r="M45" s="73"/>
      <c r="N45" s="73"/>
    </row>
    <row r="46" spans="1:14" ht="14.25">
      <c r="A46" s="76">
        <f t="shared" si="1"/>
        <v>17</v>
      </c>
      <c r="B46" s="1251" t="s">
        <v>896</v>
      </c>
      <c r="C46" s="855" t="s">
        <v>924</v>
      </c>
      <c r="D46" s="856">
        <v>157955903.66999999</v>
      </c>
      <c r="E46" s="101">
        <f t="shared" si="2"/>
        <v>0</v>
      </c>
      <c r="F46" s="70"/>
      <c r="G46" s="107"/>
      <c r="I46" s="107"/>
      <c r="J46" s="107">
        <f>D46</f>
        <v>157955903.66999999</v>
      </c>
      <c r="K46" s="138">
        <f t="shared" si="0"/>
        <v>157955903.66999999</v>
      </c>
      <c r="L46" s="5" t="s">
        <v>1030</v>
      </c>
      <c r="M46" s="73"/>
      <c r="N46" s="73"/>
    </row>
    <row r="47" spans="1:14" ht="14.25">
      <c r="A47" s="76">
        <f t="shared" si="1"/>
        <v>18</v>
      </c>
      <c r="B47" s="1251" t="s">
        <v>900</v>
      </c>
      <c r="C47" s="855" t="s">
        <v>898</v>
      </c>
      <c r="D47" s="856">
        <v>-157955903.66999999</v>
      </c>
      <c r="E47" s="101">
        <f t="shared" si="2"/>
        <v>-157955903.66999999</v>
      </c>
      <c r="F47" s="70"/>
      <c r="G47" s="138"/>
      <c r="I47" s="138"/>
      <c r="J47" s="138"/>
      <c r="K47" s="138">
        <f t="shared" ref="K47:K54" si="3">+G47+I47+J47</f>
        <v>0</v>
      </c>
      <c r="L47" s="21" t="s">
        <v>1031</v>
      </c>
      <c r="M47" s="73"/>
      <c r="N47" s="73"/>
    </row>
    <row r="48" spans="1:14" ht="14.25">
      <c r="A48" s="76">
        <f t="shared" si="1"/>
        <v>19</v>
      </c>
      <c r="B48" s="1251">
        <v>165001216</v>
      </c>
      <c r="C48" s="855" t="s">
        <v>899</v>
      </c>
      <c r="D48" s="856"/>
      <c r="E48" s="101">
        <f t="shared" si="2"/>
        <v>0</v>
      </c>
      <c r="F48" s="70"/>
      <c r="G48" s="138"/>
      <c r="I48" s="138"/>
      <c r="J48" s="138"/>
      <c r="K48" s="138">
        <f t="shared" si="3"/>
        <v>0</v>
      </c>
      <c r="L48" s="21"/>
      <c r="M48" s="73"/>
      <c r="N48" s="73"/>
    </row>
    <row r="49" spans="1:14" ht="14.25">
      <c r="A49" s="76">
        <f t="shared" si="1"/>
        <v>20</v>
      </c>
      <c r="B49" s="857">
        <v>165001218</v>
      </c>
      <c r="C49" s="855" t="s">
        <v>899</v>
      </c>
      <c r="D49" s="856">
        <v>10993</v>
      </c>
      <c r="E49" s="101">
        <f t="shared" si="2"/>
        <v>10993</v>
      </c>
      <c r="F49" s="70"/>
      <c r="G49" s="138"/>
      <c r="I49" s="138"/>
      <c r="J49" s="138"/>
      <c r="K49" s="138">
        <f t="shared" si="3"/>
        <v>0</v>
      </c>
      <c r="L49" s="21" t="s">
        <v>925</v>
      </c>
      <c r="M49" s="73"/>
      <c r="N49" s="73"/>
    </row>
    <row r="50" spans="1:14" ht="14.25">
      <c r="A50" s="76">
        <f t="shared" si="1"/>
        <v>21</v>
      </c>
      <c r="B50" s="857">
        <v>165001219</v>
      </c>
      <c r="C50" s="855" t="s">
        <v>899</v>
      </c>
      <c r="D50" s="856"/>
      <c r="E50" s="101">
        <f t="shared" si="2"/>
        <v>0</v>
      </c>
      <c r="F50" s="70"/>
      <c r="G50" s="138"/>
      <c r="I50" s="138"/>
      <c r="J50" s="138"/>
      <c r="K50" s="138">
        <f t="shared" si="3"/>
        <v>0</v>
      </c>
      <c r="M50" s="73"/>
      <c r="N50" s="73"/>
    </row>
    <row r="51" spans="1:14" ht="14.25">
      <c r="A51" s="76">
        <f t="shared" si="1"/>
        <v>22</v>
      </c>
      <c r="B51" s="857" t="s">
        <v>900</v>
      </c>
      <c r="C51" s="855" t="s">
        <v>901</v>
      </c>
      <c r="D51" s="856"/>
      <c r="E51" s="101">
        <f t="shared" si="2"/>
        <v>0</v>
      </c>
      <c r="F51" s="70"/>
      <c r="G51" s="138"/>
      <c r="I51" s="138"/>
      <c r="J51" s="138"/>
      <c r="K51" s="138">
        <f t="shared" si="3"/>
        <v>0</v>
      </c>
      <c r="L51" s="21" t="s">
        <v>115</v>
      </c>
      <c r="M51" s="73"/>
      <c r="N51" s="73"/>
    </row>
    <row r="52" spans="1:14" ht="14.25">
      <c r="A52" s="76">
        <f t="shared" si="1"/>
        <v>23</v>
      </c>
      <c r="B52" s="857" t="s">
        <v>902</v>
      </c>
      <c r="C52" s="855" t="s">
        <v>903</v>
      </c>
      <c r="D52" s="856"/>
      <c r="E52" s="101">
        <f t="shared" si="2"/>
        <v>0</v>
      </c>
      <c r="F52" s="70"/>
      <c r="G52" s="138"/>
      <c r="I52" s="138"/>
      <c r="J52" s="138"/>
      <c r="K52" s="138">
        <f t="shared" si="3"/>
        <v>0</v>
      </c>
      <c r="L52" s="21" t="s">
        <v>115</v>
      </c>
      <c r="M52" s="73"/>
      <c r="N52" s="73"/>
    </row>
    <row r="53" spans="1:14" ht="14.25">
      <c r="A53" s="76">
        <f t="shared" ref="A53:A62" si="4">A52+1</f>
        <v>24</v>
      </c>
      <c r="B53" s="857" t="s">
        <v>904</v>
      </c>
      <c r="C53" s="855" t="s">
        <v>905</v>
      </c>
      <c r="D53" s="856">
        <v>2056293.35</v>
      </c>
      <c r="E53" s="101">
        <f t="shared" si="2"/>
        <v>0</v>
      </c>
      <c r="F53" s="70"/>
      <c r="G53" s="138"/>
      <c r="I53" s="138">
        <f>D53</f>
        <v>2056293.35</v>
      </c>
      <c r="J53" s="138"/>
      <c r="K53" s="138">
        <f t="shared" si="3"/>
        <v>2056293.35</v>
      </c>
      <c r="L53" s="21" t="s">
        <v>926</v>
      </c>
      <c r="M53" s="73"/>
      <c r="N53" s="73"/>
    </row>
    <row r="54" spans="1:14" ht="14.25">
      <c r="A54" s="76">
        <f t="shared" si="4"/>
        <v>25</v>
      </c>
      <c r="B54" s="857" t="s">
        <v>906</v>
      </c>
      <c r="C54" s="855" t="s">
        <v>907</v>
      </c>
      <c r="D54" s="856">
        <v>35400</v>
      </c>
      <c r="E54" s="101">
        <f t="shared" si="2"/>
        <v>0</v>
      </c>
      <c r="F54" s="70"/>
      <c r="G54" s="107"/>
      <c r="I54" s="107">
        <f>D54</f>
        <v>35400</v>
      </c>
      <c r="J54" s="107"/>
      <c r="K54" s="138">
        <f t="shared" si="3"/>
        <v>35400</v>
      </c>
      <c r="L54" s="21" t="s">
        <v>596</v>
      </c>
      <c r="M54" s="73"/>
      <c r="N54" s="73"/>
    </row>
    <row r="55" spans="1:14" ht="14.25">
      <c r="A55" s="76">
        <f t="shared" si="4"/>
        <v>26</v>
      </c>
      <c r="B55" s="857" t="s">
        <v>908</v>
      </c>
      <c r="C55" s="855" t="s">
        <v>909</v>
      </c>
      <c r="D55" s="856"/>
      <c r="E55" s="101">
        <f t="shared" si="2"/>
        <v>0</v>
      </c>
      <c r="F55" s="70"/>
      <c r="G55" s="107"/>
      <c r="I55" s="107"/>
      <c r="J55" s="107"/>
      <c r="K55" s="138">
        <f>J55</f>
        <v>0</v>
      </c>
      <c r="L55" s="21" t="s">
        <v>115</v>
      </c>
      <c r="M55" s="73"/>
      <c r="N55" s="73"/>
    </row>
    <row r="56" spans="1:14" ht="14.25">
      <c r="A56" s="76">
        <f t="shared" si="4"/>
        <v>27</v>
      </c>
      <c r="B56" s="857" t="s">
        <v>910</v>
      </c>
      <c r="C56" s="855" t="s">
        <v>911</v>
      </c>
      <c r="D56" s="856"/>
      <c r="E56" s="101">
        <f t="shared" si="2"/>
        <v>0</v>
      </c>
      <c r="F56" s="70"/>
      <c r="G56" s="107"/>
      <c r="I56" s="107"/>
      <c r="J56" s="107"/>
      <c r="K56" s="138">
        <f>J56</f>
        <v>0</v>
      </c>
      <c r="L56" s="21"/>
      <c r="M56" s="73"/>
      <c r="N56" s="73"/>
    </row>
    <row r="57" spans="1:14" ht="14.25">
      <c r="A57" s="76">
        <f>A56+1</f>
        <v>28</v>
      </c>
      <c r="B57" s="857" t="s">
        <v>912</v>
      </c>
      <c r="C57" s="855" t="s">
        <v>913</v>
      </c>
      <c r="D57" s="856"/>
      <c r="E57" s="101">
        <f t="shared" si="2"/>
        <v>0</v>
      </c>
      <c r="F57" s="70"/>
      <c r="G57" s="107"/>
      <c r="I57" s="107"/>
      <c r="J57" s="107"/>
      <c r="K57" s="138">
        <f>J57</f>
        <v>0</v>
      </c>
      <c r="L57" s="21" t="s">
        <v>115</v>
      </c>
      <c r="M57" s="73"/>
      <c r="N57" s="73"/>
    </row>
    <row r="58" spans="1:14" ht="14.25">
      <c r="A58" s="76">
        <f>A57+1</f>
        <v>29</v>
      </c>
      <c r="B58" s="857" t="s">
        <v>914</v>
      </c>
      <c r="C58" s="855" t="s">
        <v>915</v>
      </c>
      <c r="D58" s="856"/>
      <c r="E58" s="101">
        <f t="shared" si="2"/>
        <v>0</v>
      </c>
      <c r="F58" s="70"/>
      <c r="G58" s="107"/>
      <c r="I58" s="107"/>
      <c r="J58" s="107"/>
      <c r="K58" s="138"/>
      <c r="L58" s="21" t="s">
        <v>115</v>
      </c>
      <c r="M58" s="73"/>
      <c r="N58" s="73"/>
    </row>
    <row r="59" spans="1:14" ht="14.25">
      <c r="A59" s="76">
        <f>A58+1</f>
        <v>30</v>
      </c>
      <c r="B59" s="857" t="s">
        <v>916</v>
      </c>
      <c r="C59" s="855" t="s">
        <v>917</v>
      </c>
      <c r="D59" s="856">
        <v>67611312.450000003</v>
      </c>
      <c r="E59" s="101">
        <f t="shared" si="2"/>
        <v>0</v>
      </c>
      <c r="F59" s="70"/>
      <c r="G59" s="107"/>
      <c r="I59" s="107"/>
      <c r="J59" s="107">
        <f>D59</f>
        <v>67611312.450000003</v>
      </c>
      <c r="K59" s="138">
        <f>J59</f>
        <v>67611312.450000003</v>
      </c>
      <c r="L59" s="21" t="s">
        <v>927</v>
      </c>
      <c r="M59" s="73"/>
      <c r="N59" s="73"/>
    </row>
    <row r="60" spans="1:14" ht="14.25">
      <c r="A60" s="76">
        <f>A59+1</f>
        <v>31</v>
      </c>
      <c r="B60" s="857" t="s">
        <v>918</v>
      </c>
      <c r="C60" s="855" t="s">
        <v>919</v>
      </c>
      <c r="D60" s="856"/>
      <c r="E60" s="101">
        <f t="shared" si="2"/>
        <v>0</v>
      </c>
      <c r="F60" s="70"/>
      <c r="G60" s="107"/>
      <c r="I60" s="107"/>
      <c r="J60" s="107"/>
      <c r="K60" s="138"/>
      <c r="L60" s="21" t="s">
        <v>115</v>
      </c>
      <c r="M60" s="73"/>
      <c r="N60" s="73"/>
    </row>
    <row r="61" spans="1:14" ht="13.5" customHeight="1">
      <c r="A61" s="76">
        <f t="shared" si="4"/>
        <v>32</v>
      </c>
      <c r="B61" s="857" t="s">
        <v>920</v>
      </c>
      <c r="C61" s="855" t="s">
        <v>921</v>
      </c>
      <c r="D61" s="856">
        <v>-67611312.450000003</v>
      </c>
      <c r="E61" s="101">
        <f t="shared" si="2"/>
        <v>-67611312.450000003</v>
      </c>
      <c r="F61" s="70"/>
      <c r="G61" s="107"/>
      <c r="I61" s="107"/>
      <c r="J61" s="107"/>
      <c r="K61" s="138">
        <f>G61</f>
        <v>0</v>
      </c>
      <c r="L61" s="21" t="s">
        <v>1031</v>
      </c>
      <c r="M61" s="73"/>
      <c r="N61" s="73"/>
    </row>
    <row r="62" spans="1:14" ht="15" thickBot="1">
      <c r="A62" s="76">
        <f t="shared" si="4"/>
        <v>33</v>
      </c>
      <c r="B62" s="857"/>
      <c r="C62" s="855"/>
      <c r="D62" s="856"/>
      <c r="E62" s="138"/>
      <c r="F62" s="70"/>
      <c r="G62" s="107"/>
      <c r="I62" s="107"/>
      <c r="J62" s="107"/>
      <c r="K62" s="138"/>
      <c r="L62" s="21" t="s">
        <v>115</v>
      </c>
      <c r="M62" s="73"/>
      <c r="N62" s="73"/>
    </row>
    <row r="63" spans="1:14" ht="14.25">
      <c r="A63" s="76"/>
      <c r="B63" s="141"/>
      <c r="C63" s="33" t="s">
        <v>504</v>
      </c>
      <c r="D63" s="858">
        <f>SUM(D39:D62)</f>
        <v>14776510.669999987</v>
      </c>
      <c r="E63" s="223">
        <f>SUM(E39:E62)</f>
        <v>-215807172.81</v>
      </c>
      <c r="F63" s="70"/>
      <c r="G63" s="146">
        <f>SUM(G39:G62)</f>
        <v>0</v>
      </c>
      <c r="I63" s="146">
        <f>SUM(I39:I62)</f>
        <v>5016467.3599999994</v>
      </c>
      <c r="J63" s="146">
        <f>SUM(J39:J62)</f>
        <v>225567216.12</v>
      </c>
      <c r="K63" s="146">
        <f>SUM(K39:K62)</f>
        <v>230583683.47999996</v>
      </c>
      <c r="L63"/>
      <c r="M63" s="73"/>
      <c r="N63" s="73"/>
    </row>
    <row r="64" spans="1:14">
      <c r="A64" s="76"/>
      <c r="K64" s="147"/>
      <c r="L64"/>
      <c r="M64" s="73"/>
      <c r="N64" s="73"/>
    </row>
    <row r="65" spans="1:15">
      <c r="A65" s="76"/>
      <c r="B65"/>
      <c r="C65"/>
      <c r="D65"/>
      <c r="E65"/>
      <c r="F65"/>
      <c r="G65"/>
      <c r="H65"/>
      <c r="I65"/>
      <c r="J65"/>
      <c r="K65"/>
      <c r="L65"/>
      <c r="M65" s="21"/>
      <c r="N65" s="21"/>
      <c r="O65"/>
    </row>
    <row r="66" spans="1:15" ht="18">
      <c r="A66" s="76"/>
      <c r="B66" s="1415" t="str">
        <f>"Prepayments Account 165 - Balance @ 12/31/"&amp;D68&amp;""</f>
        <v>Prepayments Account 165 - Balance @ 12/31/2017</v>
      </c>
      <c r="C66" s="1415"/>
      <c r="D66" s="1415"/>
      <c r="E66" s="1415"/>
      <c r="F66" s="1415"/>
      <c r="G66" s="1415"/>
      <c r="H66" s="1415"/>
      <c r="I66" s="1415"/>
      <c r="J66" s="1415"/>
      <c r="K66" s="82"/>
      <c r="L66" s="83"/>
      <c r="M66" s="73"/>
      <c r="N66" s="21"/>
      <c r="O66"/>
    </row>
    <row r="67" spans="1:15">
      <c r="A67" s="76"/>
      <c r="B67" s="236"/>
      <c r="C67" s="237"/>
      <c r="D67" s="238"/>
      <c r="E67" s="10"/>
      <c r="F67" s="70"/>
      <c r="G67" s="10" t="s">
        <v>87</v>
      </c>
      <c r="I67" s="8" t="s">
        <v>116</v>
      </c>
      <c r="J67" s="8" t="s">
        <v>116</v>
      </c>
      <c r="K67" s="8" t="s">
        <v>180</v>
      </c>
      <c r="L67"/>
      <c r="M67" s="73"/>
      <c r="N67" s="21"/>
      <c r="O67"/>
    </row>
    <row r="68" spans="1:15">
      <c r="A68" s="76"/>
      <c r="B68" s="236"/>
      <c r="C68" s="239"/>
      <c r="D68" s="8" t="str">
        <f>""&amp;TCOS!L4-1</f>
        <v>2017</v>
      </c>
      <c r="E68" s="8" t="s">
        <v>531</v>
      </c>
      <c r="F68" s="70"/>
      <c r="G68" s="8" t="s">
        <v>116</v>
      </c>
      <c r="I68" s="8" t="s">
        <v>524</v>
      </c>
      <c r="J68" s="8" t="s">
        <v>162</v>
      </c>
      <c r="K68" s="8" t="s">
        <v>181</v>
      </c>
      <c r="L68"/>
      <c r="M68" s="73"/>
      <c r="N68" s="21"/>
      <c r="O68"/>
    </row>
    <row r="69" spans="1:15">
      <c r="A69" s="76">
        <f>A62+1</f>
        <v>34</v>
      </c>
      <c r="B69" s="13" t="s">
        <v>90</v>
      </c>
      <c r="C69" s="13" t="s">
        <v>168</v>
      </c>
      <c r="D69" s="13" t="s">
        <v>88</v>
      </c>
      <c r="E69" s="13" t="s">
        <v>503</v>
      </c>
      <c r="F69" s="70"/>
      <c r="G69" s="13" t="s">
        <v>525</v>
      </c>
      <c r="I69" s="13" t="s">
        <v>525</v>
      </c>
      <c r="J69" s="13" t="s">
        <v>525</v>
      </c>
      <c r="K69" s="13" t="s">
        <v>526</v>
      </c>
      <c r="L69" s="13" t="s">
        <v>39</v>
      </c>
      <c r="M69" s="73"/>
      <c r="N69" s="21"/>
      <c r="O69"/>
    </row>
    <row r="70" spans="1:15">
      <c r="A70" s="76"/>
      <c r="B70" s="141"/>
      <c r="C70" s="143"/>
      <c r="D70" s="143"/>
      <c r="E70" s="143"/>
      <c r="F70" s="70"/>
      <c r="G70" s="143"/>
      <c r="I70" s="143"/>
      <c r="J70" s="143"/>
      <c r="K70" s="143"/>
      <c r="L70"/>
      <c r="M70" s="73"/>
      <c r="N70" s="21"/>
      <c r="O70"/>
    </row>
    <row r="71" spans="1:15" ht="14.25">
      <c r="A71" s="76">
        <f>+A69+1</f>
        <v>35</v>
      </c>
      <c r="B71" s="1315" t="s">
        <v>885</v>
      </c>
      <c r="C71" s="1252" t="s">
        <v>886</v>
      </c>
      <c r="D71" s="1317">
        <v>2071930</v>
      </c>
      <c r="E71" s="1318">
        <f>+D71-K71</f>
        <v>0</v>
      </c>
      <c r="F71" s="70"/>
      <c r="G71" s="1319"/>
      <c r="I71" s="1319">
        <f>+D71</f>
        <v>2071930</v>
      </c>
      <c r="J71" s="1319"/>
      <c r="K71" s="1319">
        <f t="shared" ref="K71:K86" si="5">+G71+I71+J71</f>
        <v>2071930</v>
      </c>
      <c r="L71" s="1324" t="s">
        <v>532</v>
      </c>
      <c r="M71" s="73"/>
      <c r="N71" s="21"/>
      <c r="O71"/>
    </row>
    <row r="72" spans="1:15" ht="14.25">
      <c r="A72" s="76">
        <f t="shared" ref="A72:A94" si="6">+A71+1</f>
        <v>36</v>
      </c>
      <c r="B72" s="1316">
        <v>165000217</v>
      </c>
      <c r="C72" s="1252" t="s">
        <v>887</v>
      </c>
      <c r="D72" s="1317">
        <v>1990995</v>
      </c>
      <c r="E72" s="1318">
        <f>D72</f>
        <v>1990995</v>
      </c>
      <c r="F72" s="70"/>
      <c r="G72" s="1319"/>
      <c r="I72" s="1319"/>
      <c r="J72" s="1319"/>
      <c r="K72" s="1319">
        <f t="shared" si="5"/>
        <v>0</v>
      </c>
      <c r="L72" s="1324" t="s">
        <v>1032</v>
      </c>
      <c r="M72" s="73"/>
      <c r="N72" s="21"/>
      <c r="O72"/>
    </row>
    <row r="73" spans="1:15" ht="14.25">
      <c r="A73" s="76">
        <f t="shared" si="6"/>
        <v>37</v>
      </c>
      <c r="B73" s="1315" t="s">
        <v>1016</v>
      </c>
      <c r="C73" s="1252" t="s">
        <v>1039</v>
      </c>
      <c r="D73" s="1317">
        <v>0</v>
      </c>
      <c r="E73" s="1318">
        <f>+D73-K73</f>
        <v>0</v>
      </c>
      <c r="F73" s="70"/>
      <c r="G73" s="1319"/>
      <c r="I73" s="1319"/>
      <c r="J73" s="1319"/>
      <c r="K73" s="1319">
        <f t="shared" si="5"/>
        <v>0</v>
      </c>
      <c r="L73" s="1324" t="s">
        <v>115</v>
      </c>
      <c r="M73" s="73"/>
      <c r="N73" s="21"/>
      <c r="O73"/>
    </row>
    <row r="74" spans="1:15" ht="14.25">
      <c r="A74" s="76">
        <f t="shared" si="6"/>
        <v>38</v>
      </c>
      <c r="B74" s="1315" t="s">
        <v>888</v>
      </c>
      <c r="C74" s="1252" t="s">
        <v>889</v>
      </c>
      <c r="D74" s="1317">
        <v>24773</v>
      </c>
      <c r="E74" s="1319">
        <f>D74</f>
        <v>24773</v>
      </c>
      <c r="F74" s="70"/>
      <c r="G74" s="1319"/>
      <c r="I74" s="1319"/>
      <c r="J74" s="1319">
        <v>0</v>
      </c>
      <c r="K74" s="1319">
        <f t="shared" si="5"/>
        <v>0</v>
      </c>
      <c r="L74" s="1324" t="s">
        <v>1033</v>
      </c>
      <c r="M74" s="73"/>
      <c r="N74" s="21"/>
      <c r="O74"/>
    </row>
    <row r="75" spans="1:15" ht="14.25">
      <c r="A75" s="76">
        <f t="shared" si="6"/>
        <v>39</v>
      </c>
      <c r="B75" s="1315" t="s">
        <v>890</v>
      </c>
      <c r="C75" s="1252" t="s">
        <v>891</v>
      </c>
      <c r="D75" s="1317">
        <v>0</v>
      </c>
      <c r="E75" s="1320">
        <v>0</v>
      </c>
      <c r="F75" s="70"/>
      <c r="G75" s="1320"/>
      <c r="I75" s="1320"/>
      <c r="J75" s="1320">
        <f>D75</f>
        <v>0</v>
      </c>
      <c r="K75" s="1320">
        <f t="shared" si="5"/>
        <v>0</v>
      </c>
      <c r="M75" s="73"/>
      <c r="N75" s="21"/>
      <c r="O75"/>
    </row>
    <row r="76" spans="1:15" ht="14.25">
      <c r="A76" s="76">
        <f t="shared" si="6"/>
        <v>40</v>
      </c>
      <c r="B76" s="1315" t="s">
        <v>892</v>
      </c>
      <c r="C76" s="1252" t="s">
        <v>893</v>
      </c>
      <c r="D76" s="1317">
        <v>2595636</v>
      </c>
      <c r="E76" s="1319">
        <f>+D76-K76</f>
        <v>2595636</v>
      </c>
      <c r="F76" s="70"/>
      <c r="G76" s="1319"/>
      <c r="I76" s="1319"/>
      <c r="J76" s="1319"/>
      <c r="K76" s="1320">
        <f t="shared" si="5"/>
        <v>0</v>
      </c>
      <c r="L76" s="1324" t="s">
        <v>1038</v>
      </c>
      <c r="M76" s="73"/>
      <c r="N76" s="21"/>
      <c r="O76"/>
    </row>
    <row r="77" spans="1:15" ht="14.25">
      <c r="A77" s="76">
        <f t="shared" si="6"/>
        <v>41</v>
      </c>
      <c r="B77" s="1315" t="s">
        <v>894</v>
      </c>
      <c r="C77" s="1252" t="s">
        <v>895</v>
      </c>
      <c r="D77" s="1317">
        <v>99242</v>
      </c>
      <c r="E77" s="1319">
        <f>D77</f>
        <v>99242</v>
      </c>
      <c r="F77" s="70"/>
      <c r="G77" s="1319"/>
      <c r="I77" s="1319"/>
      <c r="J77" s="1319">
        <v>0</v>
      </c>
      <c r="K77" s="1320">
        <v>0</v>
      </c>
      <c r="L77" s="1324" t="s">
        <v>923</v>
      </c>
      <c r="M77" s="73"/>
      <c r="N77" s="21"/>
      <c r="O77"/>
    </row>
    <row r="78" spans="1:15" ht="14.25">
      <c r="A78" s="76">
        <f t="shared" si="6"/>
        <v>42</v>
      </c>
      <c r="B78" s="1315" t="s">
        <v>896</v>
      </c>
      <c r="C78" s="1252" t="s">
        <v>897</v>
      </c>
      <c r="D78" s="1317">
        <v>164847647</v>
      </c>
      <c r="E78" s="1319">
        <v>0</v>
      </c>
      <c r="F78" s="70"/>
      <c r="G78" s="1319"/>
      <c r="I78" s="1319"/>
      <c r="J78" s="1319">
        <f>D78</f>
        <v>164847647</v>
      </c>
      <c r="K78" s="1320">
        <f t="shared" si="5"/>
        <v>164847647</v>
      </c>
      <c r="L78" s="1324" t="s">
        <v>1034</v>
      </c>
      <c r="M78" s="73"/>
      <c r="N78" s="21"/>
      <c r="O78"/>
    </row>
    <row r="79" spans="1:15" ht="14.25">
      <c r="A79" s="76">
        <f t="shared" si="6"/>
        <v>43</v>
      </c>
      <c r="B79" s="1315" t="s">
        <v>900</v>
      </c>
      <c r="C79" s="1252" t="s">
        <v>901</v>
      </c>
      <c r="D79" s="1317">
        <v>-164847647</v>
      </c>
      <c r="E79" s="1320">
        <f>D79</f>
        <v>-164847647</v>
      </c>
      <c r="F79" s="70"/>
      <c r="G79" s="1320"/>
      <c r="I79" s="1320"/>
      <c r="J79" s="1320">
        <v>0</v>
      </c>
      <c r="K79" s="1320">
        <f t="shared" si="5"/>
        <v>0</v>
      </c>
      <c r="L79" s="1324" t="s">
        <v>1031</v>
      </c>
      <c r="M79" s="73"/>
      <c r="N79" s="21"/>
      <c r="O79"/>
    </row>
    <row r="80" spans="1:15" ht="14.25">
      <c r="A80" s="76">
        <f t="shared" si="6"/>
        <v>44</v>
      </c>
      <c r="B80" s="1315" t="s">
        <v>902</v>
      </c>
      <c r="C80" s="1252" t="s">
        <v>903</v>
      </c>
      <c r="D80" s="1317">
        <v>0</v>
      </c>
      <c r="E80" s="1320">
        <f>D80</f>
        <v>0</v>
      </c>
      <c r="F80" s="70"/>
      <c r="G80" s="1320"/>
      <c r="I80" s="1320"/>
      <c r="J80" s="1320">
        <v>0</v>
      </c>
      <c r="K80" s="1320">
        <f t="shared" si="5"/>
        <v>0</v>
      </c>
      <c r="L80" s="1324" t="s">
        <v>1035</v>
      </c>
      <c r="M80" s="73"/>
      <c r="N80" s="21"/>
      <c r="O80"/>
    </row>
    <row r="81" spans="1:15" ht="14.25">
      <c r="A81" s="76">
        <f t="shared" si="6"/>
        <v>45</v>
      </c>
      <c r="B81" s="1316">
        <v>1650021</v>
      </c>
      <c r="C81" s="1252" t="s">
        <v>905</v>
      </c>
      <c r="D81" s="1317">
        <v>1421334</v>
      </c>
      <c r="E81" s="1320">
        <f>+D81-K81</f>
        <v>0</v>
      </c>
      <c r="F81" s="70"/>
      <c r="G81" s="1320"/>
      <c r="I81" s="1320">
        <f>+D81</f>
        <v>1421334</v>
      </c>
      <c r="J81" s="1320"/>
      <c r="K81" s="1320">
        <f t="shared" si="5"/>
        <v>1421334</v>
      </c>
      <c r="L81" s="1324" t="s">
        <v>1046</v>
      </c>
      <c r="M81" s="73"/>
      <c r="N81" s="21"/>
      <c r="O81"/>
    </row>
    <row r="82" spans="1:15" ht="14.25">
      <c r="A82" s="76">
        <f t="shared" si="6"/>
        <v>46</v>
      </c>
      <c r="B82" s="1316">
        <v>1650023</v>
      </c>
      <c r="C82" s="1252" t="s">
        <v>907</v>
      </c>
      <c r="D82" s="1317">
        <v>2500</v>
      </c>
      <c r="E82" s="1320">
        <f>D82</f>
        <v>2500</v>
      </c>
      <c r="F82" s="70"/>
      <c r="G82" s="1320"/>
      <c r="I82" s="1320"/>
      <c r="J82" s="1320">
        <v>0</v>
      </c>
      <c r="K82" s="1320">
        <f t="shared" si="5"/>
        <v>0</v>
      </c>
      <c r="L82" s="1324" t="s">
        <v>1045</v>
      </c>
      <c r="M82" s="73"/>
      <c r="N82" s="21"/>
      <c r="O82"/>
    </row>
    <row r="83" spans="1:15" ht="14.25">
      <c r="A83" s="76">
        <f t="shared" si="6"/>
        <v>47</v>
      </c>
      <c r="B83" s="1316">
        <v>1650031</v>
      </c>
      <c r="C83" s="1252" t="s">
        <v>909</v>
      </c>
      <c r="D83" s="1317">
        <v>0</v>
      </c>
      <c r="E83" s="1320">
        <v>0</v>
      </c>
      <c r="F83" s="70"/>
      <c r="G83" s="1320"/>
      <c r="I83" s="1320"/>
      <c r="J83" s="1320">
        <f t="shared" ref="J83:J88" si="7">D83</f>
        <v>0</v>
      </c>
      <c r="K83" s="1320">
        <f t="shared" si="5"/>
        <v>0</v>
      </c>
      <c r="L83" s="1324" t="s">
        <v>115</v>
      </c>
      <c r="M83" s="73"/>
      <c r="N83" s="21"/>
      <c r="O83"/>
    </row>
    <row r="84" spans="1:15" ht="14.25">
      <c r="A84" s="76">
        <f t="shared" si="6"/>
        <v>48</v>
      </c>
      <c r="B84" s="1316">
        <v>1650032</v>
      </c>
      <c r="C84" s="1252" t="s">
        <v>911</v>
      </c>
      <c r="D84" s="1317">
        <v>0</v>
      </c>
      <c r="E84" s="1320">
        <v>0</v>
      </c>
      <c r="F84" s="70"/>
      <c r="G84" s="1320"/>
      <c r="I84" s="1320"/>
      <c r="J84" s="1320">
        <f t="shared" si="7"/>
        <v>0</v>
      </c>
      <c r="K84" s="1320">
        <f t="shared" si="5"/>
        <v>0</v>
      </c>
      <c r="L84" s="1324" t="s">
        <v>115</v>
      </c>
      <c r="M84" s="73"/>
      <c r="N84" s="21"/>
      <c r="O84"/>
    </row>
    <row r="85" spans="1:15" ht="14.25">
      <c r="A85" s="76">
        <f t="shared" si="6"/>
        <v>49</v>
      </c>
      <c r="B85" s="1316">
        <v>1650033</v>
      </c>
      <c r="C85" s="1252" t="s">
        <v>909</v>
      </c>
      <c r="D85" s="1317">
        <v>0</v>
      </c>
      <c r="E85" s="1320">
        <v>0</v>
      </c>
      <c r="F85" s="70"/>
      <c r="G85" s="1320"/>
      <c r="I85" s="1320"/>
      <c r="J85" s="1320">
        <f t="shared" si="7"/>
        <v>0</v>
      </c>
      <c r="K85" s="1320">
        <f t="shared" si="5"/>
        <v>0</v>
      </c>
      <c r="L85" s="1324" t="s">
        <v>115</v>
      </c>
      <c r="M85" s="73"/>
      <c r="N85" s="21"/>
      <c r="O85"/>
    </row>
    <row r="86" spans="1:15" ht="14.25">
      <c r="A86" s="76">
        <f t="shared" si="6"/>
        <v>50</v>
      </c>
      <c r="B86" s="1316">
        <v>1650034</v>
      </c>
      <c r="C86" s="1252" t="s">
        <v>1043</v>
      </c>
      <c r="D86" s="1317">
        <v>0</v>
      </c>
      <c r="E86" s="1320">
        <v>0</v>
      </c>
      <c r="F86" s="70"/>
      <c r="G86" s="1319"/>
      <c r="I86" s="1319"/>
      <c r="J86" s="1319">
        <f t="shared" si="7"/>
        <v>0</v>
      </c>
      <c r="K86" s="1320">
        <f t="shared" si="5"/>
        <v>0</v>
      </c>
      <c r="L86" s="1324" t="s">
        <v>115</v>
      </c>
      <c r="M86" s="73"/>
      <c r="N86" s="21"/>
      <c r="O86"/>
    </row>
    <row r="87" spans="1:15" ht="14.25">
      <c r="A87" s="76">
        <f t="shared" si="6"/>
        <v>51</v>
      </c>
      <c r="B87" s="1316">
        <v>1650035</v>
      </c>
      <c r="C87" s="1252" t="s">
        <v>917</v>
      </c>
      <c r="D87" s="1317">
        <v>51220091</v>
      </c>
      <c r="E87" s="1320"/>
      <c r="F87" s="70"/>
      <c r="G87" s="1319"/>
      <c r="I87" s="1319"/>
      <c r="J87" s="1319">
        <f t="shared" si="7"/>
        <v>51220091</v>
      </c>
      <c r="K87" s="1320">
        <f>J87</f>
        <v>51220091</v>
      </c>
      <c r="L87" s="1324" t="s">
        <v>1036</v>
      </c>
      <c r="M87" s="73"/>
      <c r="N87" s="21"/>
      <c r="O87"/>
    </row>
    <row r="88" spans="1:15" ht="14.25">
      <c r="A88" s="76">
        <f>A87+1</f>
        <v>52</v>
      </c>
      <c r="B88" s="1316">
        <v>1650036</v>
      </c>
      <c r="C88" s="1252" t="s">
        <v>1040</v>
      </c>
      <c r="D88" s="1317">
        <v>0</v>
      </c>
      <c r="E88" s="1320"/>
      <c r="F88" s="70"/>
      <c r="G88" s="1319"/>
      <c r="I88" s="1319"/>
      <c r="J88" s="1319">
        <f t="shared" si="7"/>
        <v>0</v>
      </c>
      <c r="K88" s="1320">
        <f>J88</f>
        <v>0</v>
      </c>
      <c r="L88" s="1324" t="s">
        <v>115</v>
      </c>
      <c r="M88" s="73"/>
      <c r="N88" s="21"/>
      <c r="O88"/>
    </row>
    <row r="89" spans="1:15" ht="14.25">
      <c r="A89" s="76">
        <f>A88+1</f>
        <v>53</v>
      </c>
      <c r="B89" s="1316">
        <v>1650037</v>
      </c>
      <c r="C89" s="1252" t="s">
        <v>1041</v>
      </c>
      <c r="D89" s="1317">
        <v>-51220091</v>
      </c>
      <c r="E89" s="1320">
        <f>D89</f>
        <v>-51220091</v>
      </c>
      <c r="F89" s="70"/>
      <c r="G89" s="1319"/>
      <c r="I89" s="1319"/>
      <c r="J89" s="1319"/>
      <c r="K89" s="1320"/>
      <c r="L89" s="1324"/>
      <c r="M89" s="73"/>
      <c r="N89" s="21"/>
      <c r="O89"/>
    </row>
    <row r="90" spans="1:15" ht="14.25">
      <c r="A90" s="76">
        <f>A89+1</f>
        <v>54</v>
      </c>
      <c r="B90" s="1316">
        <v>165000218</v>
      </c>
      <c r="C90" s="1252" t="s">
        <v>887</v>
      </c>
      <c r="D90" s="1317">
        <v>805980</v>
      </c>
      <c r="E90" s="1320"/>
      <c r="F90" s="70"/>
      <c r="G90" s="1319">
        <v>0</v>
      </c>
      <c r="I90" s="1319">
        <f>D90</f>
        <v>805980</v>
      </c>
      <c r="J90" s="1319"/>
      <c r="K90" s="1320">
        <f>I90</f>
        <v>805980</v>
      </c>
      <c r="L90" s="1324" t="s">
        <v>1031</v>
      </c>
      <c r="M90" s="73"/>
      <c r="N90" s="21"/>
      <c r="O90"/>
    </row>
    <row r="91" spans="1:15" ht="14.25">
      <c r="A91" s="76">
        <f>A90+1</f>
        <v>55</v>
      </c>
      <c r="B91" s="1316">
        <v>165001217</v>
      </c>
      <c r="C91" s="1252" t="s">
        <v>1042</v>
      </c>
      <c r="D91" s="1317">
        <v>17174</v>
      </c>
      <c r="E91" s="1320">
        <f>D91</f>
        <v>17174</v>
      </c>
      <c r="F91" s="70"/>
      <c r="G91" s="1319">
        <v>0</v>
      </c>
      <c r="I91" s="1319"/>
      <c r="J91" s="1319"/>
      <c r="K91" s="1320">
        <f>G91</f>
        <v>0</v>
      </c>
      <c r="L91" s="1324" t="s">
        <v>1044</v>
      </c>
      <c r="M91" s="73"/>
      <c r="N91" s="21"/>
      <c r="O91"/>
    </row>
    <row r="92" spans="1:15" ht="14.25">
      <c r="A92" s="76">
        <f t="shared" si="6"/>
        <v>56</v>
      </c>
      <c r="B92" s="1252"/>
      <c r="C92" s="1252"/>
      <c r="D92" s="856"/>
      <c r="E92" s="138"/>
      <c r="F92" s="70"/>
      <c r="G92" s="107"/>
      <c r="I92" s="107"/>
      <c r="J92" s="107"/>
      <c r="K92" s="138"/>
      <c r="L92" s="1324" t="s">
        <v>1037</v>
      </c>
      <c r="M92" s="73"/>
      <c r="N92" s="21"/>
      <c r="O92"/>
    </row>
    <row r="93" spans="1:15" ht="14.25">
      <c r="A93" s="76">
        <f t="shared" si="6"/>
        <v>57</v>
      </c>
      <c r="B93" s="1252"/>
      <c r="C93" s="1252"/>
      <c r="D93" s="856"/>
      <c r="E93" s="138"/>
      <c r="F93" s="70"/>
      <c r="G93" s="107"/>
      <c r="I93" s="107"/>
      <c r="J93" s="107"/>
      <c r="K93" s="138"/>
      <c r="L93" s="21" t="s">
        <v>115</v>
      </c>
      <c r="M93" s="73"/>
      <c r="N93" s="21"/>
      <c r="O93"/>
    </row>
    <row r="94" spans="1:15" ht="14.25">
      <c r="A94" s="76">
        <f t="shared" si="6"/>
        <v>58</v>
      </c>
      <c r="B94" s="857"/>
      <c r="C94" s="855"/>
      <c r="D94" s="856"/>
      <c r="E94" s="138"/>
      <c r="F94" s="70"/>
      <c r="G94" s="107"/>
      <c r="I94" s="107"/>
      <c r="J94" s="107"/>
      <c r="K94" s="138"/>
      <c r="L94" s="21" t="s">
        <v>115</v>
      </c>
      <c r="M94" s="73"/>
      <c r="N94" s="21"/>
      <c r="O94"/>
    </row>
    <row r="95" spans="1:15" ht="13.5" thickBot="1">
      <c r="A95" s="76"/>
      <c r="B95" s="27"/>
      <c r="C95" s="27"/>
      <c r="D95" s="138"/>
      <c r="E95" s="101"/>
      <c r="F95" s="70"/>
      <c r="G95" s="107"/>
      <c r="I95" s="107"/>
      <c r="J95" s="107"/>
      <c r="K95" s="107"/>
      <c r="L95"/>
      <c r="M95" s="73"/>
      <c r="N95" s="21"/>
      <c r="O95"/>
    </row>
    <row r="96" spans="1:15" ht="14.25">
      <c r="A96" s="76"/>
      <c r="B96" s="141"/>
      <c r="C96" s="33" t="s">
        <v>384</v>
      </c>
      <c r="D96" s="858">
        <f>IF(SUM(D71:D95)=0,"",SUM(D71:D95))-1</f>
        <v>9029563</v>
      </c>
      <c r="E96" s="223">
        <f>IF(SUM(E71:E95)=0,"",SUM(E71:E95))</f>
        <v>-211337418</v>
      </c>
      <c r="F96" s="70"/>
      <c r="G96" s="146" t="str">
        <f>IF(SUM(G71:G95)=0,"",SUM(G71:G95))</f>
        <v/>
      </c>
      <c r="I96" s="146">
        <f>IF(SUM(I71:I95)=0,"",SUM(I71:I95))</f>
        <v>4299244</v>
      </c>
      <c r="J96" s="146">
        <f>IF(SUM(J71:J95)=0,"",SUM(J71:J95))</f>
        <v>216067738</v>
      </c>
      <c r="K96" s="146">
        <f>IF(SUM(K71:K95)=0,"",SUM(K71:K95))</f>
        <v>220366982</v>
      </c>
      <c r="L96"/>
      <c r="M96" s="73"/>
      <c r="N96" s="21"/>
      <c r="O96"/>
    </row>
    <row r="97" spans="1:15">
      <c r="A97" s="76"/>
      <c r="B97" s="76"/>
      <c r="C97"/>
      <c r="D97"/>
      <c r="E97"/>
      <c r="F97"/>
      <c r="G97"/>
      <c r="H97"/>
      <c r="I97"/>
      <c r="J97"/>
      <c r="K97"/>
      <c r="L97"/>
      <c r="M97" s="21"/>
      <c r="N97" s="21"/>
      <c r="O97"/>
    </row>
    <row r="98" spans="1:15" ht="18.75" customHeight="1">
      <c r="A98" s="76" t="s">
        <v>642</v>
      </c>
      <c r="B98" s="1414" t="s">
        <v>840</v>
      </c>
      <c r="C98" s="1414"/>
      <c r="D98" s="1414"/>
      <c r="E98" s="1414"/>
      <c r="F98" s="1414"/>
      <c r="G98" s="1414"/>
      <c r="H98" s="1414"/>
      <c r="I98" s="1414"/>
      <c r="J98" s="1414"/>
      <c r="K98" s="1414"/>
      <c r="L98" s="1414"/>
      <c r="M98" s="21"/>
      <c r="N98" s="21"/>
      <c r="O98"/>
    </row>
    <row r="99" spans="1:15" ht="18.75" customHeight="1">
      <c r="A99" s="5"/>
      <c r="B99" s="1414"/>
      <c r="C99" s="1414"/>
      <c r="D99" s="1414"/>
      <c r="E99" s="1414"/>
      <c r="F99" s="1414"/>
      <c r="G99" s="1414"/>
      <c r="H99" s="1414"/>
      <c r="I99" s="1414"/>
      <c r="J99" s="1414"/>
      <c r="K99" s="1414"/>
      <c r="L99" s="1414"/>
      <c r="M99" s="21"/>
      <c r="N99" s="21"/>
      <c r="O99"/>
    </row>
    <row r="100" spans="1:15" ht="18">
      <c r="E100" s="900"/>
      <c r="F100" s="900"/>
      <c r="G100" s="900"/>
      <c r="H100" s="900"/>
      <c r="I100" s="900"/>
      <c r="J100" s="900"/>
      <c r="K100" s="900"/>
      <c r="L100" s="83"/>
      <c r="M100" s="73"/>
      <c r="N100" s="73"/>
    </row>
    <row r="101" spans="1:15" ht="12.75" customHeight="1">
      <c r="E101" s="8"/>
      <c r="F101" s="70"/>
      <c r="G101" s="8"/>
      <c r="H101" s="73"/>
      <c r="I101" s="73"/>
    </row>
    <row r="102" spans="1:15">
      <c r="E102" s="8"/>
      <c r="G102" s="8"/>
      <c r="H102" s="21"/>
      <c r="I102" s="21"/>
      <c r="J102"/>
    </row>
    <row r="103" spans="1:15">
      <c r="E103" s="13"/>
      <c r="G103" s="13"/>
      <c r="H103" s="21"/>
      <c r="I103" s="21"/>
      <c r="J103"/>
    </row>
    <row r="104" spans="1:15">
      <c r="E104"/>
      <c r="F104"/>
      <c r="G104"/>
      <c r="H104"/>
      <c r="I104"/>
      <c r="J104"/>
      <c r="K104"/>
      <c r="L104"/>
      <c r="M104" s="21"/>
      <c r="N104" s="21"/>
      <c r="O104"/>
    </row>
    <row r="105" spans="1:15">
      <c r="E105"/>
      <c r="F105"/>
      <c r="G105"/>
      <c r="H105"/>
      <c r="I105"/>
      <c r="J105"/>
      <c r="K105"/>
      <c r="L105"/>
      <c r="M105" s="21"/>
      <c r="N105" s="21"/>
      <c r="O105"/>
    </row>
    <row r="106" spans="1:15">
      <c r="E106"/>
      <c r="F106"/>
      <c r="G106"/>
      <c r="H106"/>
      <c r="I106"/>
      <c r="J106"/>
      <c r="K106"/>
      <c r="L106"/>
      <c r="M106" s="21"/>
      <c r="N106" s="21"/>
      <c r="O106"/>
    </row>
    <row r="107" spans="1:15">
      <c r="A107"/>
      <c r="B107"/>
      <c r="C107"/>
      <c r="D107"/>
      <c r="E107"/>
      <c r="F107"/>
      <c r="G107"/>
      <c r="H107"/>
      <c r="I107"/>
      <c r="J107"/>
      <c r="K107"/>
      <c r="L107"/>
      <c r="M107" s="21"/>
      <c r="N107" s="21"/>
      <c r="O107"/>
    </row>
    <row r="108" spans="1:15">
      <c r="A108"/>
      <c r="B108"/>
      <c r="C108"/>
      <c r="D108"/>
      <c r="E108"/>
      <c r="F108"/>
      <c r="G108"/>
      <c r="H108"/>
      <c r="I108"/>
      <c r="J108"/>
      <c r="K108"/>
      <c r="L108"/>
      <c r="M108" s="21"/>
      <c r="N108" s="21"/>
      <c r="O108"/>
    </row>
    <row r="109" spans="1:15">
      <c r="A109"/>
      <c r="B109"/>
      <c r="C109"/>
      <c r="D109"/>
      <c r="E109"/>
      <c r="F109"/>
      <c r="G109"/>
      <c r="H109"/>
      <c r="I109"/>
      <c r="J109"/>
      <c r="K109"/>
      <c r="L109"/>
      <c r="M109" s="21"/>
      <c r="N109" s="21"/>
      <c r="O109"/>
    </row>
    <row r="110" spans="1:15">
      <c r="A110"/>
      <c r="B110"/>
      <c r="C110"/>
      <c r="D110"/>
      <c r="E110"/>
      <c r="F110"/>
      <c r="G110"/>
      <c r="H110"/>
      <c r="I110"/>
      <c r="J110"/>
      <c r="K110"/>
      <c r="L110"/>
      <c r="M110" s="21"/>
      <c r="N110" s="21"/>
      <c r="O110"/>
    </row>
    <row r="111" spans="1:15">
      <c r="A111"/>
      <c r="B111"/>
      <c r="C111"/>
      <c r="D111"/>
      <c r="E111"/>
      <c r="F111"/>
      <c r="G111"/>
      <c r="H111"/>
      <c r="I111"/>
      <c r="J111"/>
      <c r="K111"/>
      <c r="L111"/>
      <c r="M111" s="21"/>
      <c r="N111" s="21"/>
      <c r="O111"/>
    </row>
    <row r="112" spans="1:15">
      <c r="A112"/>
      <c r="B112"/>
      <c r="C112"/>
      <c r="D112"/>
      <c r="E112"/>
      <c r="F112"/>
      <c r="G112"/>
      <c r="H112"/>
      <c r="I112"/>
      <c r="J112"/>
      <c r="K112"/>
      <c r="L112"/>
      <c r="M112" s="21"/>
      <c r="N112" s="21"/>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row r="127" spans="1:15">
      <c r="A127"/>
      <c r="B127"/>
      <c r="C127"/>
      <c r="D127"/>
      <c r="E127"/>
      <c r="F127"/>
      <c r="G127"/>
      <c r="H127"/>
      <c r="I127"/>
      <c r="J127"/>
      <c r="K127"/>
      <c r="L127"/>
      <c r="M127"/>
      <c r="N127"/>
      <c r="O127"/>
    </row>
    <row r="128" spans="1:15">
      <c r="A128"/>
      <c r="B128"/>
      <c r="C128"/>
      <c r="D128"/>
      <c r="E128"/>
      <c r="F128"/>
      <c r="G128"/>
      <c r="H128"/>
      <c r="I128"/>
      <c r="J128"/>
      <c r="K128"/>
      <c r="L128"/>
      <c r="M128"/>
      <c r="N128"/>
      <c r="O128"/>
    </row>
    <row r="129" spans="1:15">
      <c r="A129"/>
      <c r="B129"/>
      <c r="C129"/>
      <c r="D129"/>
      <c r="E129"/>
      <c r="F129"/>
      <c r="G129"/>
      <c r="H129"/>
      <c r="I129"/>
      <c r="J129"/>
      <c r="K129"/>
      <c r="L129"/>
      <c r="M129"/>
      <c r="N129"/>
      <c r="O129"/>
    </row>
    <row r="130" spans="1:15">
      <c r="A130"/>
      <c r="B130"/>
      <c r="C130"/>
      <c r="D130"/>
      <c r="E130"/>
      <c r="F130"/>
      <c r="G130"/>
      <c r="H130"/>
      <c r="I130"/>
      <c r="J130"/>
      <c r="K130"/>
      <c r="L130"/>
      <c r="M130"/>
      <c r="N130"/>
      <c r="O130"/>
    </row>
    <row r="131" spans="1:15">
      <c r="A131"/>
      <c r="B131"/>
      <c r="C131"/>
      <c r="D131"/>
      <c r="E131"/>
      <c r="F131"/>
      <c r="G131"/>
      <c r="H131"/>
      <c r="I131"/>
      <c r="J131"/>
      <c r="K131"/>
      <c r="L131"/>
      <c r="M131"/>
      <c r="N131"/>
      <c r="O131"/>
    </row>
    <row r="132" spans="1:15">
      <c r="A132"/>
      <c r="B132"/>
      <c r="C132"/>
      <c r="D132"/>
      <c r="E132"/>
      <c r="F132"/>
      <c r="G132"/>
      <c r="H132"/>
      <c r="I132"/>
      <c r="J132"/>
      <c r="K132"/>
      <c r="L132"/>
      <c r="M132"/>
      <c r="N132"/>
      <c r="O132"/>
    </row>
    <row r="133" spans="1:15">
      <c r="A133"/>
      <c r="B133"/>
      <c r="C133"/>
      <c r="D133"/>
      <c r="E133"/>
      <c r="F133"/>
      <c r="G133"/>
      <c r="H133"/>
      <c r="I133"/>
      <c r="J133"/>
      <c r="K133"/>
      <c r="L133"/>
      <c r="M133"/>
      <c r="N133"/>
      <c r="O133"/>
    </row>
    <row r="134" spans="1:15">
      <c r="A134"/>
      <c r="B134"/>
      <c r="C134"/>
      <c r="D134"/>
      <c r="E134"/>
      <c r="F134"/>
      <c r="G134"/>
      <c r="H134"/>
      <c r="I134"/>
      <c r="J134"/>
      <c r="K134"/>
      <c r="L134"/>
      <c r="M134"/>
      <c r="N134"/>
      <c r="O134"/>
    </row>
    <row r="135" spans="1:15">
      <c r="A135"/>
      <c r="B135"/>
      <c r="C135"/>
      <c r="D135"/>
      <c r="E135"/>
      <c r="F135"/>
      <c r="G135"/>
      <c r="H135"/>
      <c r="I135"/>
      <c r="J135"/>
      <c r="K135"/>
      <c r="L135"/>
      <c r="M135"/>
      <c r="N135"/>
      <c r="O135"/>
    </row>
    <row r="136" spans="1:15">
      <c r="A136"/>
      <c r="B136"/>
      <c r="C136"/>
      <c r="D136"/>
      <c r="E136"/>
      <c r="F136"/>
      <c r="G136"/>
      <c r="H136"/>
      <c r="I136"/>
      <c r="J136"/>
      <c r="K136"/>
      <c r="L136"/>
      <c r="M136"/>
      <c r="N136"/>
      <c r="O136"/>
    </row>
    <row r="137" spans="1:15">
      <c r="A137"/>
      <c r="B137"/>
      <c r="C137"/>
      <c r="D137"/>
      <c r="E137"/>
      <c r="F137"/>
      <c r="G137"/>
      <c r="H137"/>
      <c r="I137"/>
      <c r="J137"/>
      <c r="K137"/>
      <c r="L137"/>
      <c r="M137"/>
      <c r="N137"/>
      <c r="O137"/>
    </row>
    <row r="138" spans="1:15">
      <c r="A138"/>
      <c r="B138"/>
      <c r="C138"/>
      <c r="D138"/>
      <c r="E138"/>
      <c r="F138"/>
      <c r="G138"/>
      <c r="H138"/>
      <c r="I138"/>
      <c r="J138"/>
      <c r="K138"/>
      <c r="L138"/>
      <c r="M138"/>
      <c r="N138"/>
      <c r="O138"/>
    </row>
    <row r="139" spans="1:15">
      <c r="A139"/>
      <c r="B139"/>
      <c r="C139"/>
      <c r="D139"/>
      <c r="E139"/>
      <c r="F139"/>
      <c r="G139"/>
      <c r="H139"/>
      <c r="I139"/>
      <c r="J139"/>
      <c r="K139"/>
      <c r="L139"/>
      <c r="M139"/>
      <c r="N139"/>
      <c r="O139"/>
    </row>
    <row r="140" spans="1:15">
      <c r="A140"/>
      <c r="B140"/>
      <c r="C140"/>
      <c r="D140"/>
      <c r="E140"/>
      <c r="F140"/>
      <c r="G140"/>
      <c r="H140"/>
      <c r="I140"/>
      <c r="J140"/>
      <c r="K140"/>
      <c r="L140"/>
      <c r="M140"/>
      <c r="N140"/>
      <c r="O140"/>
    </row>
    <row r="141" spans="1:15">
      <c r="A141"/>
      <c r="B141"/>
      <c r="C141"/>
      <c r="D141"/>
      <c r="E141"/>
      <c r="F141"/>
      <c r="G141"/>
      <c r="H141"/>
      <c r="I141"/>
      <c r="J141"/>
      <c r="K141"/>
      <c r="L141"/>
      <c r="M141"/>
      <c r="N141"/>
      <c r="O141"/>
    </row>
    <row r="142" spans="1:15">
      <c r="A142"/>
      <c r="B142"/>
      <c r="C142"/>
      <c r="D142"/>
      <c r="E142"/>
      <c r="F142"/>
      <c r="G142"/>
      <c r="H142"/>
      <c r="I142"/>
      <c r="J142"/>
      <c r="K142"/>
      <c r="L142"/>
      <c r="M142"/>
      <c r="N142"/>
      <c r="O142"/>
    </row>
  </sheetData>
  <mergeCells count="12">
    <mergeCell ref="B98:L99"/>
    <mergeCell ref="B66:J66"/>
    <mergeCell ref="B24:K24"/>
    <mergeCell ref="E12:E13"/>
    <mergeCell ref="I12:I13"/>
    <mergeCell ref="B34:J34"/>
    <mergeCell ref="G12:G13"/>
    <mergeCell ref="B10:K10"/>
    <mergeCell ref="A3:L3"/>
    <mergeCell ref="A4:L4"/>
    <mergeCell ref="A5:L5"/>
    <mergeCell ref="A6:L6"/>
  </mergeCells>
  <phoneticPr fontId="2" type="noConversion"/>
  <pageMargins left="1.08" right="0.75" top="1" bottom="0.41" header="0.86" footer="0.27"/>
  <pageSetup scale="37" orientation="landscape"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8"/>
  <sheetViews>
    <sheetView zoomScaleNormal="100" zoomScaleSheetLayoutView="100" workbookViewId="0">
      <selection activeCell="C23" sqref="C23"/>
    </sheetView>
  </sheetViews>
  <sheetFormatPr defaultColWidth="8.85546875" defaultRowHeight="12.75"/>
  <cols>
    <col min="1" max="1" width="9.42578125" style="426" bestFit="1" customWidth="1"/>
    <col min="2" max="2" width="65.140625" style="334" bestFit="1" customWidth="1"/>
    <col min="3" max="3" width="12.5703125" style="334" bestFit="1" customWidth="1"/>
    <col min="4" max="4" width="1.5703125" style="334" customWidth="1"/>
    <col min="5" max="5" width="15" style="334" bestFit="1" customWidth="1"/>
    <col min="6" max="16384" width="8.85546875" style="334"/>
  </cols>
  <sheetData>
    <row r="1" spans="1:15" ht="15.75">
      <c r="A1" s="899" t="s">
        <v>115</v>
      </c>
    </row>
    <row r="2" spans="1:15" ht="15.75">
      <c r="A2" s="899" t="s">
        <v>115</v>
      </c>
    </row>
    <row r="3" spans="1:15" ht="15">
      <c r="A3" s="1420" t="str">
        <f>+'WS C  - Working Capital'!A3:L3</f>
        <v>AEP East Companies</v>
      </c>
      <c r="B3" s="1420"/>
      <c r="C3" s="1420"/>
      <c r="D3" s="1420"/>
      <c r="E3" s="1420"/>
      <c r="F3" s="531"/>
      <c r="G3" s="531"/>
      <c r="H3" s="531"/>
      <c r="I3" s="531"/>
      <c r="J3" s="531"/>
      <c r="K3" s="531"/>
      <c r="L3" s="531"/>
      <c r="M3" s="531"/>
      <c r="N3" s="531"/>
      <c r="O3" s="531"/>
    </row>
    <row r="4" spans="1:15" ht="15">
      <c r="A4" s="1421" t="str">
        <f>"Cost of Service Formula Rate Using Actual/Projected FF1 Balances"</f>
        <v>Cost of Service Formula Rate Using Actual/Projected FF1 Balances</v>
      </c>
      <c r="B4" s="1421"/>
      <c r="C4" s="1421"/>
      <c r="D4" s="1421"/>
      <c r="E4" s="1421"/>
      <c r="F4" s="532"/>
      <c r="G4" s="532"/>
      <c r="H4" s="532"/>
      <c r="I4" s="532"/>
      <c r="J4" s="532"/>
      <c r="K4" s="532"/>
      <c r="L4" s="532"/>
      <c r="M4" s="533"/>
      <c r="N4" s="533"/>
      <c r="O4" s="533"/>
    </row>
    <row r="5" spans="1:15" ht="15">
      <c r="A5" s="1421" t="s">
        <v>228</v>
      </c>
      <c r="B5" s="1421"/>
      <c r="C5" s="1421"/>
      <c r="D5" s="1421"/>
      <c r="E5" s="1421"/>
      <c r="F5" s="532"/>
      <c r="G5" s="532"/>
      <c r="H5" s="532"/>
      <c r="I5" s="532"/>
      <c r="J5" s="532"/>
      <c r="K5" s="532"/>
      <c r="L5" s="532"/>
      <c r="M5" s="532"/>
      <c r="N5" s="532"/>
      <c r="O5" s="532"/>
    </row>
    <row r="6" spans="1:15" ht="15">
      <c r="A6" s="1422" t="str">
        <f>TCOS!F9</f>
        <v>Appalachian Power Company</v>
      </c>
      <c r="B6" s="1422"/>
      <c r="C6" s="1422"/>
      <c r="D6" s="1422"/>
      <c r="E6" s="1422"/>
      <c r="F6" s="330"/>
      <c r="G6" s="330"/>
      <c r="H6" s="330"/>
      <c r="I6" s="330"/>
      <c r="J6" s="330"/>
      <c r="K6" s="330"/>
      <c r="L6" s="330"/>
      <c r="M6" s="330"/>
      <c r="N6" s="330"/>
      <c r="O6" s="330"/>
    </row>
    <row r="8" spans="1:15">
      <c r="A8" s="534" t="s">
        <v>170</v>
      </c>
      <c r="B8" s="535" t="s">
        <v>163</v>
      </c>
      <c r="C8" s="535" t="s">
        <v>164</v>
      </c>
    </row>
    <row r="9" spans="1:15">
      <c r="A9" s="534" t="s">
        <v>106</v>
      </c>
      <c r="B9" s="534" t="s">
        <v>168</v>
      </c>
      <c r="C9" s="534">
        <f>+TCOS!L4</f>
        <v>2018</v>
      </c>
    </row>
    <row r="10" spans="1:15">
      <c r="A10" s="536"/>
      <c r="B10" s="537"/>
      <c r="C10" s="535"/>
      <c r="F10" s="415"/>
    </row>
    <row r="11" spans="1:15">
      <c r="A11" s="426">
        <v>1</v>
      </c>
      <c r="B11" s="1125" t="str">
        <f>"Net Funds from IPP Customers 12/31/"&amp;TCOS!L4-1&amp;" ("&amp;TCOS!L4&amp;" FORM 1, P269)"</f>
        <v>Net Funds from IPP Customers 12/31/2017 (2018 FORM 1, P269)</v>
      </c>
      <c r="C11" s="853">
        <v>-2897545</v>
      </c>
      <c r="D11" s="415"/>
      <c r="F11" s="415"/>
    </row>
    <row r="12" spans="1:15">
      <c r="B12" s="579"/>
      <c r="C12" s="859"/>
      <c r="D12" s="415"/>
      <c r="F12" s="415"/>
    </row>
    <row r="13" spans="1:15">
      <c r="A13" s="426">
        <v>2</v>
      </c>
      <c r="B13" s="1125" t="s">
        <v>71</v>
      </c>
      <c r="C13" s="853">
        <v>-135442</v>
      </c>
      <c r="D13" s="415"/>
      <c r="F13" s="415"/>
    </row>
    <row r="14" spans="1:15">
      <c r="B14" s="1125"/>
      <c r="C14" s="859"/>
      <c r="D14" s="415"/>
      <c r="F14" s="415"/>
    </row>
    <row r="15" spans="1:15">
      <c r="A15" s="426">
        <f>+A13+1</f>
        <v>3</v>
      </c>
      <c r="B15" s="1125" t="s">
        <v>72</v>
      </c>
      <c r="C15" s="853">
        <v>0</v>
      </c>
      <c r="D15" s="415"/>
      <c r="F15" s="415"/>
    </row>
    <row r="16" spans="1:15">
      <c r="B16" s="1125"/>
      <c r="C16" s="859"/>
      <c r="D16" s="415"/>
      <c r="F16" s="415"/>
    </row>
    <row r="17" spans="1:6">
      <c r="A17" s="426">
        <f>+A15+1</f>
        <v>4</v>
      </c>
      <c r="B17" s="1126" t="s">
        <v>229</v>
      </c>
      <c r="C17" s="859"/>
      <c r="D17" s="415"/>
      <c r="F17" s="415"/>
    </row>
    <row r="18" spans="1:6">
      <c r="A18" s="426">
        <f>+A17+1</f>
        <v>5</v>
      </c>
      <c r="B18" s="1125" t="s">
        <v>73</v>
      </c>
      <c r="C18" s="853">
        <v>0</v>
      </c>
      <c r="D18" s="415"/>
      <c r="F18" s="415"/>
    </row>
    <row r="19" spans="1:6">
      <c r="A19" s="426">
        <f>+A18+1</f>
        <v>6</v>
      </c>
      <c r="B19" s="1118" t="s">
        <v>115</v>
      </c>
      <c r="C19" s="860">
        <v>0</v>
      </c>
      <c r="D19" s="415"/>
      <c r="F19" s="415"/>
    </row>
    <row r="20" spans="1:6">
      <c r="B20" s="579"/>
      <c r="C20" s="861"/>
      <c r="D20" s="415"/>
      <c r="F20" s="415"/>
    </row>
    <row r="21" spans="1:6">
      <c r="A21" s="426">
        <f>+A19+1</f>
        <v>7</v>
      </c>
      <c r="B21" s="1125" t="str">
        <f>"Net Funds from IPP Customers 12/31/"&amp;TCOS!L4&amp;" ("&amp;TCOS!L4&amp;" FORM 1, P269)"</f>
        <v>Net Funds from IPP Customers 12/31/2018 (2018 FORM 1, P269)</v>
      </c>
      <c r="C21" s="539">
        <f>+C11+C13+C15+C18+C19</f>
        <v>-3032987</v>
      </c>
      <c r="D21" s="540"/>
      <c r="F21" s="415"/>
    </row>
    <row r="22" spans="1:6">
      <c r="B22" s="579"/>
      <c r="C22" s="539"/>
      <c r="D22" s="415"/>
      <c r="F22" s="415"/>
    </row>
    <row r="23" spans="1:6">
      <c r="A23" s="426">
        <f>+A21+1</f>
        <v>8</v>
      </c>
      <c r="B23" s="1125" t="str">
        <f>"Average Balance for Year as Indicated in Column B ((ln "&amp;A11&amp;" + ln "&amp;A21&amp;")/2)"</f>
        <v>Average Balance for Year as Indicated in Column B ((ln 1 + ln 7)/2)</v>
      </c>
      <c r="C23" s="541">
        <f>AVERAGE(C21,C11)</f>
        <v>-2965266</v>
      </c>
      <c r="D23" s="415"/>
      <c r="F23" s="415"/>
    </row>
    <row r="24" spans="1:6">
      <c r="B24" s="579"/>
      <c r="D24" s="415"/>
    </row>
    <row r="25" spans="1:6">
      <c r="B25" s="372"/>
      <c r="C25" s="542"/>
      <c r="D25" s="415"/>
    </row>
    <row r="26" spans="1:6" ht="15">
      <c r="A26" s="322" t="s">
        <v>500</v>
      </c>
      <c r="B26" s="1382" t="str">
        <f>"On this worksheet Company Records refers to  "&amp;A6&amp;"'s general ledger."</f>
        <v>On this worksheet Company Records refers to  Appalachian Power Company's general ledger.</v>
      </c>
      <c r="D26" s="415"/>
    </row>
    <row r="27" spans="1:6">
      <c r="B27" s="1419"/>
      <c r="D27" s="415"/>
    </row>
    <row r="28" spans="1:6">
      <c r="B28" s="543"/>
      <c r="D28" s="415"/>
    </row>
    <row r="29" spans="1:6">
      <c r="D29" s="415"/>
    </row>
    <row r="30" spans="1:6">
      <c r="D30" s="415"/>
    </row>
    <row r="31" spans="1:6">
      <c r="D31" s="415"/>
    </row>
    <row r="32" spans="1:6">
      <c r="D32" s="544"/>
    </row>
    <row r="33" spans="1:4">
      <c r="D33" s="415"/>
    </row>
    <row r="34" spans="1:4">
      <c r="D34" s="415"/>
    </row>
    <row r="35" spans="1:4">
      <c r="D35" s="415"/>
    </row>
    <row r="36" spans="1:4">
      <c r="A36" s="536"/>
      <c r="B36" s="415"/>
      <c r="C36" s="415"/>
      <c r="D36" s="415"/>
    </row>
    <row r="37" spans="1:4">
      <c r="A37" s="536"/>
      <c r="B37" s="415"/>
      <c r="C37" s="415"/>
    </row>
    <row r="38" spans="1:4">
      <c r="C38" s="545"/>
    </row>
  </sheetData>
  <mergeCells count="5">
    <mergeCell ref="B26:B27"/>
    <mergeCell ref="A3:E3"/>
    <mergeCell ref="A4:E4"/>
    <mergeCell ref="A5:E5"/>
    <mergeCell ref="A6:E6"/>
  </mergeCells>
  <phoneticPr fontId="0" type="noConversion"/>
  <pageMargins left="0.82" right="0.7" top="1" bottom="1" header="0.75" footer="0.5"/>
  <pageSetup scale="86" orientation="portrait"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151"/>
  <sheetViews>
    <sheetView view="pageBreakPreview" zoomScaleNormal="100" zoomScaleSheetLayoutView="100" workbookViewId="0">
      <selection activeCell="I19" sqref="I19"/>
    </sheetView>
  </sheetViews>
  <sheetFormatPr defaultRowHeight="15"/>
  <cols>
    <col min="1" max="1" width="9.42578125" style="546" customWidth="1"/>
    <col min="2" max="2" width="6.5703125" style="546" customWidth="1"/>
    <col min="3" max="8" width="14.5703125" style="546" customWidth="1"/>
    <col min="9" max="9" width="14.85546875" style="546" bestFit="1" customWidth="1"/>
    <col min="10" max="11" width="16.5703125" style="546" bestFit="1" customWidth="1"/>
    <col min="12" max="13" width="22.140625" style="546" bestFit="1" customWidth="1"/>
    <col min="14" max="14" width="8.42578125" style="546" customWidth="1"/>
    <col min="15" max="38" width="12.5703125" style="546" customWidth="1"/>
    <col min="39" max="16384" width="9.140625" style="546"/>
  </cols>
  <sheetData>
    <row r="1" spans="1:22" ht="15.75">
      <c r="A1" s="899" t="s">
        <v>115</v>
      </c>
    </row>
    <row r="2" spans="1:22" ht="15.75">
      <c r="A2" s="899" t="s">
        <v>115</v>
      </c>
    </row>
    <row r="3" spans="1:22">
      <c r="A3" s="1420" t="str">
        <f>+'WS C  - Working Capital'!A3:L3</f>
        <v>AEP East Companies</v>
      </c>
      <c r="B3" s="1420"/>
      <c r="C3" s="1420"/>
      <c r="D3" s="1420"/>
      <c r="E3" s="1420"/>
      <c r="F3" s="1420"/>
      <c r="G3" s="1420"/>
      <c r="H3" s="1420"/>
      <c r="I3" s="1420"/>
      <c r="J3" s="1420"/>
      <c r="K3" s="1420"/>
      <c r="L3" s="531"/>
      <c r="M3" s="531"/>
      <c r="N3" s="531"/>
      <c r="O3" s="531"/>
    </row>
    <row r="4" spans="1:22">
      <c r="A4" s="1421" t="str">
        <f>"Cost of Service Formula Rate Using Actual/Projected FF1 Balances"</f>
        <v>Cost of Service Formula Rate Using Actual/Projected FF1 Balances</v>
      </c>
      <c r="B4" s="1421"/>
      <c r="C4" s="1421"/>
      <c r="D4" s="1421"/>
      <c r="E4" s="1421"/>
      <c r="F4" s="1421"/>
      <c r="G4" s="1421"/>
      <c r="H4" s="1421"/>
      <c r="I4" s="1421"/>
      <c r="J4" s="1421"/>
      <c r="K4" s="1421"/>
      <c r="L4" s="533"/>
      <c r="M4" s="533"/>
      <c r="N4" s="533"/>
      <c r="O4" s="533"/>
    </row>
    <row r="5" spans="1:22">
      <c r="A5" s="1421" t="s">
        <v>238</v>
      </c>
      <c r="B5" s="1421"/>
      <c r="C5" s="1421"/>
      <c r="D5" s="1421"/>
      <c r="E5" s="1421"/>
      <c r="F5" s="1421"/>
      <c r="G5" s="1421"/>
      <c r="H5" s="1421"/>
      <c r="I5" s="1421"/>
      <c r="J5" s="1421"/>
      <c r="K5" s="1421"/>
      <c r="L5" s="532"/>
      <c r="M5" s="532"/>
      <c r="N5" s="532"/>
      <c r="O5" s="532"/>
    </row>
    <row r="6" spans="1:22">
      <c r="A6" s="1422" t="str">
        <f>TCOS!F9</f>
        <v>Appalachian Power Company</v>
      </c>
      <c r="B6" s="1422"/>
      <c r="C6" s="1422"/>
      <c r="D6" s="1422"/>
      <c r="E6" s="1422"/>
      <c r="F6" s="1422"/>
      <c r="G6" s="1422"/>
      <c r="H6" s="1422"/>
      <c r="I6" s="1422"/>
      <c r="J6" s="1422"/>
      <c r="K6" s="1422"/>
      <c r="L6" s="330"/>
      <c r="M6" s="330"/>
      <c r="N6" s="330"/>
      <c r="O6" s="330"/>
    </row>
    <row r="7" spans="1:22">
      <c r="A7" s="547"/>
      <c r="B7" s="547"/>
      <c r="C7" s="547"/>
      <c r="D7" s="547"/>
      <c r="E7" s="547"/>
      <c r="F7" s="547"/>
      <c r="G7" s="547"/>
      <c r="H7" s="547"/>
      <c r="I7" s="547"/>
      <c r="J7" s="547"/>
      <c r="K7" s="547"/>
      <c r="L7" s="547"/>
      <c r="M7" s="547"/>
      <c r="N7" s="547"/>
      <c r="O7" s="547"/>
    </row>
    <row r="8" spans="1:22" ht="18">
      <c r="A8" s="1425"/>
      <c r="B8" s="1425"/>
      <c r="C8" s="1425"/>
      <c r="D8" s="1425"/>
      <c r="E8" s="1425"/>
      <c r="F8" s="1425"/>
      <c r="G8" s="1425"/>
      <c r="H8" s="1425"/>
      <c r="I8" s="1425"/>
      <c r="J8" s="1425"/>
      <c r="K8" s="1425"/>
      <c r="L8" s="549"/>
      <c r="M8" s="550"/>
    </row>
    <row r="9" spans="1:22" ht="18">
      <c r="A9" s="548"/>
      <c r="B9" s="548"/>
      <c r="C9" s="548"/>
      <c r="D9" s="548"/>
      <c r="E9" s="548"/>
      <c r="F9" s="548"/>
      <c r="G9" s="548"/>
      <c r="H9" s="548"/>
      <c r="I9" s="548"/>
      <c r="J9" s="548"/>
      <c r="K9" s="548"/>
      <c r="L9" s="549"/>
      <c r="M9" s="550"/>
    </row>
    <row r="10" spans="1:22" ht="15.75">
      <c r="A10" s="551" t="s">
        <v>170</v>
      </c>
      <c r="B10" s="549"/>
      <c r="C10" s="552"/>
      <c r="D10" s="552"/>
      <c r="E10" s="552"/>
      <c r="F10" s="552"/>
      <c r="G10" s="553"/>
      <c r="H10" s="553"/>
      <c r="I10" s="551" t="s">
        <v>183</v>
      </c>
      <c r="J10" s="551" t="s">
        <v>28</v>
      </c>
      <c r="K10" s="554"/>
      <c r="N10" s="555"/>
      <c r="P10" s="555"/>
      <c r="R10" s="555"/>
      <c r="S10" s="555"/>
      <c r="T10" s="555"/>
      <c r="U10" s="519"/>
      <c r="V10" s="519"/>
    </row>
    <row r="11" spans="1:22" ht="15.75">
      <c r="A11" s="551" t="s">
        <v>106</v>
      </c>
      <c r="B11" s="1426" t="s">
        <v>168</v>
      </c>
      <c r="C11" s="1426"/>
      <c r="D11" s="1426"/>
      <c r="E11" s="1426"/>
      <c r="F11" s="1426"/>
      <c r="G11" s="1426"/>
      <c r="H11" s="1426"/>
      <c r="I11" s="556" t="s">
        <v>184</v>
      </c>
      <c r="J11" s="556" t="s">
        <v>116</v>
      </c>
      <c r="K11" s="556" t="s">
        <v>116</v>
      </c>
      <c r="L11" s="557"/>
      <c r="M11" s="557"/>
      <c r="N11" s="555"/>
      <c r="O11" s="555"/>
      <c r="P11" s="555"/>
      <c r="Q11" s="555"/>
      <c r="R11" s="555"/>
      <c r="S11" s="555"/>
      <c r="T11" s="558"/>
      <c r="U11" s="519"/>
      <c r="V11" s="519"/>
    </row>
    <row r="12" spans="1:22" ht="15.75">
      <c r="A12" s="553"/>
      <c r="B12" s="559"/>
      <c r="C12" s="549"/>
      <c r="D12" s="553"/>
      <c r="E12" s="553"/>
      <c r="F12" s="553"/>
      <c r="G12" s="553"/>
      <c r="H12" s="553"/>
      <c r="I12" s="553"/>
      <c r="J12" s="553"/>
      <c r="K12" s="560"/>
      <c r="L12" s="557"/>
      <c r="M12" s="557"/>
      <c r="N12" s="555"/>
      <c r="O12" s="555"/>
      <c r="P12" s="555"/>
      <c r="Q12" s="555"/>
      <c r="R12" s="555"/>
      <c r="S12" s="555"/>
      <c r="T12" s="558"/>
      <c r="U12" s="519"/>
      <c r="V12" s="519"/>
    </row>
    <row r="13" spans="1:22" s="567" customFormat="1" ht="12.75">
      <c r="A13" s="561">
        <v>1</v>
      </c>
      <c r="B13" s="562" t="s">
        <v>483</v>
      </c>
      <c r="C13" s="543"/>
      <c r="D13" s="563"/>
      <c r="E13" s="563"/>
      <c r="F13" s="563"/>
      <c r="G13" s="563"/>
      <c r="H13" s="563"/>
      <c r="I13" s="862">
        <v>5332266.26</v>
      </c>
      <c r="J13" s="564">
        <f>+I13-K12</f>
        <v>5332266.26</v>
      </c>
      <c r="K13" s="862"/>
      <c r="L13" s="565"/>
      <c r="M13" s="565"/>
      <c r="N13" s="543"/>
      <c r="O13" s="543"/>
      <c r="P13" s="543"/>
      <c r="Q13" s="543"/>
      <c r="R13" s="543"/>
      <c r="S13" s="543"/>
      <c r="T13" s="566"/>
      <c r="U13" s="543"/>
      <c r="V13" s="543"/>
    </row>
    <row r="14" spans="1:22" s="567" customFormat="1" ht="12.75">
      <c r="A14" s="568"/>
      <c r="B14" s="569"/>
      <c r="C14" s="570"/>
      <c r="D14" s="571"/>
      <c r="E14" s="571"/>
      <c r="F14" s="571"/>
      <c r="G14" s="571"/>
      <c r="H14" s="563"/>
      <c r="I14" s="572"/>
      <c r="J14" s="573"/>
      <c r="K14" s="572"/>
      <c r="L14" s="565"/>
      <c r="M14" s="565"/>
      <c r="N14" s="543"/>
      <c r="O14" s="543"/>
      <c r="P14" s="543"/>
      <c r="Q14" s="543"/>
      <c r="R14" s="543"/>
      <c r="S14" s="543"/>
      <c r="T14" s="566"/>
      <c r="U14" s="543"/>
      <c r="V14" s="543"/>
    </row>
    <row r="15" spans="1:22" s="567" customFormat="1" ht="12.75">
      <c r="A15" s="561">
        <f>+A13+1</f>
        <v>2</v>
      </c>
      <c r="B15" s="574" t="s">
        <v>484</v>
      </c>
      <c r="C15" s="543"/>
      <c r="D15" s="563"/>
      <c r="E15" s="563"/>
      <c r="F15" s="563"/>
      <c r="G15" s="563"/>
      <c r="H15" s="563"/>
      <c r="I15" s="862">
        <v>3056655.84</v>
      </c>
      <c r="J15" s="564">
        <f>+I15-K15</f>
        <v>2698754.4</v>
      </c>
      <c r="K15" s="862">
        <v>357901.44</v>
      </c>
      <c r="L15" s="565"/>
      <c r="M15" s="565"/>
      <c r="N15" s="543"/>
      <c r="O15" s="543"/>
      <c r="P15" s="543"/>
      <c r="Q15" s="543"/>
      <c r="R15" s="543"/>
      <c r="S15" s="543"/>
      <c r="T15" s="543"/>
      <c r="U15" s="543"/>
      <c r="V15" s="543"/>
    </row>
    <row r="16" spans="1:22" s="567" customFormat="1" ht="12.75">
      <c r="A16" s="568"/>
      <c r="B16" s="575"/>
      <c r="C16" s="570"/>
      <c r="D16" s="571"/>
      <c r="E16" s="571"/>
      <c r="F16" s="571"/>
      <c r="G16" s="571"/>
      <c r="H16" s="563"/>
      <c r="I16" s="573"/>
      <c r="J16" s="573"/>
      <c r="K16" s="573"/>
      <c r="L16" s="565"/>
      <c r="M16" s="565"/>
      <c r="N16" s="543"/>
      <c r="O16" s="543"/>
      <c r="P16" s="543"/>
      <c r="Q16" s="543"/>
      <c r="R16" s="543"/>
      <c r="S16" s="543"/>
      <c r="T16" s="543"/>
      <c r="U16" s="543"/>
      <c r="V16" s="543"/>
    </row>
    <row r="17" spans="1:22" s="567" customFormat="1" ht="12.75">
      <c r="A17" s="561">
        <f>+A15+1</f>
        <v>3</v>
      </c>
      <c r="B17" s="574" t="s">
        <v>485</v>
      </c>
      <c r="C17" s="543"/>
      <c r="D17" s="563"/>
      <c r="E17" s="563"/>
      <c r="F17" s="563"/>
      <c r="G17" s="563"/>
      <c r="H17" s="563"/>
      <c r="I17" s="862">
        <f>6025942.14+1406573.93+2007510.33+14033177.94</f>
        <v>23473204.339999996</v>
      </c>
      <c r="J17" s="564">
        <f>+I17-K17</f>
        <v>21176211.909999996</v>
      </c>
      <c r="K17" s="862">
        <f>201163.11+193153.92+1902675.4</f>
        <v>2296992.4299999997</v>
      </c>
      <c r="L17" s="565"/>
      <c r="M17" s="565"/>
      <c r="N17" s="543"/>
      <c r="O17" s="543"/>
      <c r="P17" s="543"/>
      <c r="Q17" s="543"/>
      <c r="R17" s="543"/>
      <c r="S17" s="543"/>
      <c r="T17" s="543"/>
      <c r="U17" s="543"/>
      <c r="V17" s="543"/>
    </row>
    <row r="18" spans="1:22" s="567" customFormat="1" ht="12.75">
      <c r="A18" s="568"/>
      <c r="B18" s="573"/>
      <c r="C18" s="579"/>
      <c r="D18" s="573"/>
      <c r="E18" s="573"/>
      <c r="F18" s="573"/>
      <c r="G18" s="576"/>
      <c r="H18" s="573"/>
      <c r="I18" s="573"/>
      <c r="J18" s="573"/>
      <c r="K18" s="573"/>
      <c r="L18" s="565"/>
      <c r="M18" s="565"/>
      <c r="N18" s="543"/>
      <c r="O18" s="543"/>
      <c r="P18" s="543"/>
      <c r="Q18" s="543"/>
      <c r="R18" s="543"/>
      <c r="S18" s="543"/>
      <c r="T18" s="543"/>
      <c r="U18" s="543"/>
      <c r="V18" s="543"/>
    </row>
    <row r="19" spans="1:22" s="567" customFormat="1" ht="12.75">
      <c r="A19" s="561">
        <f>+A17+1</f>
        <v>4</v>
      </c>
      <c r="B19" s="562" t="s">
        <v>772</v>
      </c>
      <c r="C19" s="579"/>
      <c r="D19" s="573"/>
      <c r="E19" s="573"/>
      <c r="F19" s="573"/>
      <c r="G19" s="576"/>
      <c r="H19" s="573"/>
      <c r="I19" s="862">
        <v>7745003.9400000004</v>
      </c>
      <c r="J19" s="564">
        <f>+I19-K19</f>
        <v>4409212.3500000006</v>
      </c>
      <c r="K19" s="862">
        <v>3335791.59</v>
      </c>
      <c r="L19" s="565"/>
      <c r="M19" s="565"/>
      <c r="N19" s="578"/>
      <c r="O19" s="543"/>
      <c r="P19" s="543"/>
      <c r="Q19" s="543"/>
      <c r="R19" s="543"/>
      <c r="S19" s="543"/>
      <c r="T19" s="543"/>
      <c r="U19" s="543"/>
      <c r="V19" s="543"/>
    </row>
    <row r="20" spans="1:22" s="567" customFormat="1" ht="12.75">
      <c r="A20" s="568"/>
      <c r="B20" s="562"/>
      <c r="C20" s="579"/>
      <c r="D20" s="573"/>
      <c r="E20" s="573"/>
      <c r="F20" s="573"/>
      <c r="G20" s="576"/>
      <c r="H20" s="573"/>
      <c r="I20" s="543"/>
      <c r="J20" s="543"/>
      <c r="K20" s="543"/>
      <c r="L20" s="579"/>
      <c r="M20" s="565"/>
      <c r="N20" s="578"/>
      <c r="O20" s="543"/>
      <c r="P20" s="543"/>
      <c r="Q20" s="543"/>
      <c r="R20" s="543"/>
      <c r="S20" s="543"/>
      <c r="T20" s="543"/>
      <c r="U20" s="543"/>
      <c r="V20" s="543"/>
    </row>
    <row r="21" spans="1:22" s="567" customFormat="1" ht="12.75">
      <c r="A21" s="561">
        <f>+A19+1</f>
        <v>5</v>
      </c>
      <c r="B21" s="562" t="s">
        <v>773</v>
      </c>
      <c r="C21" s="579"/>
      <c r="D21" s="573"/>
      <c r="E21" s="573"/>
      <c r="F21" s="573"/>
      <c r="G21" s="576"/>
      <c r="H21" s="573"/>
      <c r="I21" s="862">
        <v>107726543</v>
      </c>
      <c r="J21" s="564">
        <f>+I21-K21</f>
        <v>107726543</v>
      </c>
      <c r="K21" s="862"/>
      <c r="L21" s="565"/>
      <c r="M21" s="565"/>
      <c r="N21" s="578"/>
      <c r="O21" s="543"/>
      <c r="P21" s="543"/>
      <c r="Q21" s="543"/>
      <c r="R21" s="543"/>
      <c r="S21" s="543"/>
      <c r="T21" s="543"/>
      <c r="U21" s="543"/>
      <c r="V21" s="543"/>
    </row>
    <row r="22" spans="1:22" s="567" customFormat="1" ht="12.75">
      <c r="A22" s="561"/>
      <c r="B22" s="562"/>
      <c r="C22" s="579"/>
      <c r="D22" s="573"/>
      <c r="E22" s="573"/>
      <c r="F22" s="573"/>
      <c r="G22" s="576"/>
      <c r="H22" s="573"/>
      <c r="I22" s="898"/>
      <c r="J22" s="564"/>
      <c r="K22" s="898"/>
      <c r="L22" s="565"/>
      <c r="M22" s="565"/>
      <c r="N22" s="578"/>
      <c r="O22" s="543"/>
      <c r="P22" s="543"/>
      <c r="Q22" s="543"/>
      <c r="R22" s="543"/>
      <c r="S22" s="543"/>
      <c r="T22" s="543"/>
      <c r="U22" s="543"/>
      <c r="V22" s="543"/>
    </row>
    <row r="23" spans="1:22" s="567" customFormat="1" ht="12.75">
      <c r="A23" s="561" t="s">
        <v>633</v>
      </c>
      <c r="B23" s="562" t="s">
        <v>636</v>
      </c>
      <c r="C23" s="579"/>
      <c r="D23" s="573"/>
      <c r="E23" s="573"/>
      <c r="F23" s="573"/>
      <c r="G23" s="576"/>
      <c r="H23" s="573"/>
      <c r="I23" s="862"/>
      <c r="J23" s="564">
        <v>0</v>
      </c>
      <c r="K23" s="862"/>
      <c r="L23" s="565"/>
      <c r="M23" s="565"/>
      <c r="N23" s="578"/>
      <c r="O23" s="543"/>
      <c r="P23" s="543"/>
      <c r="Q23" s="543"/>
      <c r="R23" s="543"/>
      <c r="S23" s="543"/>
      <c r="T23" s="543"/>
      <c r="U23" s="543"/>
      <c r="V23" s="543"/>
    </row>
    <row r="24" spans="1:22" s="567" customFormat="1" ht="12.75">
      <c r="A24" s="561"/>
      <c r="B24" s="562"/>
      <c r="C24" s="579"/>
      <c r="D24" s="573"/>
      <c r="E24" s="573"/>
      <c r="F24" s="573"/>
      <c r="G24" s="576"/>
      <c r="H24" s="573"/>
      <c r="I24" s="898"/>
      <c r="J24" s="564"/>
      <c r="K24" s="898"/>
      <c r="L24" s="565"/>
      <c r="M24" s="565"/>
      <c r="N24" s="578"/>
      <c r="O24" s="543"/>
      <c r="P24" s="543"/>
      <c r="Q24" s="543"/>
      <c r="R24" s="543"/>
      <c r="S24" s="543"/>
      <c r="T24" s="543"/>
      <c r="U24" s="543"/>
      <c r="V24" s="543"/>
    </row>
    <row r="25" spans="1:22" s="567" customFormat="1" ht="12.75">
      <c r="A25" s="561" t="s">
        <v>634</v>
      </c>
      <c r="B25" s="562" t="s">
        <v>635</v>
      </c>
      <c r="C25" s="579"/>
      <c r="D25" s="573"/>
      <c r="E25" s="573"/>
      <c r="F25" s="573"/>
      <c r="G25" s="576"/>
      <c r="H25" s="573"/>
      <c r="I25" s="862"/>
      <c r="J25" s="564">
        <v>0</v>
      </c>
      <c r="K25" s="862"/>
      <c r="L25" s="565"/>
      <c r="M25" s="565"/>
      <c r="N25" s="578"/>
      <c r="O25" s="543"/>
      <c r="P25" s="543"/>
      <c r="Q25" s="543"/>
      <c r="R25" s="543"/>
      <c r="S25" s="543"/>
      <c r="T25" s="543"/>
      <c r="U25" s="543"/>
      <c r="V25" s="543"/>
    </row>
    <row r="26" spans="1:22" s="567" customFormat="1" ht="12.75">
      <c r="A26" s="561"/>
      <c r="B26" s="562"/>
      <c r="C26" s="579"/>
      <c r="D26" s="573"/>
      <c r="E26" s="573"/>
      <c r="F26" s="573"/>
      <c r="G26" s="576"/>
      <c r="H26" s="573"/>
      <c r="I26" s="543"/>
      <c r="J26" s="543"/>
      <c r="L26" s="565"/>
      <c r="M26" s="565"/>
      <c r="N26" s="543"/>
      <c r="O26" s="543"/>
      <c r="P26" s="543"/>
      <c r="Q26" s="543"/>
      <c r="R26" s="543"/>
      <c r="S26" s="543"/>
      <c r="T26" s="543"/>
      <c r="U26" s="543"/>
      <c r="V26" s="543"/>
    </row>
    <row r="27" spans="1:22" s="567" customFormat="1" ht="12.75">
      <c r="A27" s="561">
        <f>+A21+1</f>
        <v>6</v>
      </c>
      <c r="B27" s="562" t="s">
        <v>74</v>
      </c>
      <c r="C27" s="579"/>
      <c r="D27" s="573"/>
      <c r="E27" s="573"/>
      <c r="F27" s="573"/>
      <c r="G27" s="576"/>
      <c r="H27" s="573"/>
      <c r="I27" s="580">
        <f>+I21+I19+I17+I15+I13+I23+I25</f>
        <v>147333673.38</v>
      </c>
      <c r="J27" s="580">
        <f>+J21+J19+J17+J15+J13+J23+J25</f>
        <v>141342987.91999999</v>
      </c>
      <c r="K27" s="580">
        <f>+K21+K19+K17+K15+K13+K23+K25</f>
        <v>5990685.46</v>
      </c>
      <c r="L27" s="565"/>
      <c r="M27" s="565"/>
      <c r="N27" s="543"/>
      <c r="O27" s="543"/>
      <c r="P27" s="543"/>
      <c r="Q27" s="543"/>
      <c r="R27" s="543"/>
      <c r="S27" s="543"/>
      <c r="T27" s="543"/>
      <c r="U27" s="543"/>
      <c r="V27" s="543"/>
    </row>
    <row r="28" spans="1:22" s="567" customFormat="1" ht="12.75">
      <c r="A28" s="561"/>
      <c r="B28" s="562"/>
      <c r="C28" s="579"/>
      <c r="D28" s="573"/>
      <c r="E28" s="573"/>
      <c r="F28" s="573"/>
      <c r="G28" s="576"/>
      <c r="H28" s="573"/>
      <c r="I28" s="543"/>
      <c r="J28" s="543"/>
      <c r="K28" s="543"/>
      <c r="L28" s="565"/>
      <c r="M28" s="565"/>
      <c r="N28" s="543"/>
      <c r="O28" s="543"/>
      <c r="P28" s="543"/>
      <c r="Q28" s="543"/>
      <c r="R28" s="543"/>
      <c r="S28" s="543"/>
      <c r="T28" s="543"/>
      <c r="U28" s="543"/>
      <c r="V28" s="543"/>
    </row>
    <row r="29" spans="1:22" s="567" customFormat="1" ht="12.75">
      <c r="A29" s="561">
        <f>+A27+1</f>
        <v>7</v>
      </c>
      <c r="B29" s="1424" t="s">
        <v>486</v>
      </c>
      <c r="C29" s="1419"/>
      <c r="D29" s="1419"/>
      <c r="E29" s="1419"/>
      <c r="F29" s="1419"/>
      <c r="G29" s="1419"/>
      <c r="H29" s="573"/>
      <c r="I29" s="862"/>
      <c r="J29" s="564">
        <f>+I29-K29</f>
        <v>0</v>
      </c>
      <c r="K29" s="862"/>
      <c r="L29" s="565"/>
      <c r="M29" s="565"/>
      <c r="N29" s="543"/>
      <c r="O29" s="543"/>
      <c r="P29" s="543"/>
      <c r="Q29" s="543"/>
      <c r="R29" s="543"/>
      <c r="S29" s="543"/>
      <c r="T29" s="543"/>
      <c r="U29" s="543"/>
      <c r="V29" s="543"/>
    </row>
    <row r="30" spans="1:22" s="567" customFormat="1" ht="12.75">
      <c r="A30" s="1118"/>
      <c r="B30" s="1419"/>
      <c r="C30" s="1419"/>
      <c r="D30" s="1419"/>
      <c r="E30" s="1419"/>
      <c r="F30" s="1419"/>
      <c r="G30" s="1419"/>
      <c r="H30" s="563"/>
      <c r="I30" s="581"/>
      <c r="J30" s="563"/>
      <c r="K30" s="582"/>
      <c r="L30" s="565"/>
      <c r="M30" s="565"/>
      <c r="N30" s="543"/>
      <c r="O30" s="543"/>
      <c r="P30" s="543"/>
      <c r="Q30" s="543"/>
      <c r="R30" s="543"/>
      <c r="S30" s="543"/>
      <c r="T30" s="543"/>
      <c r="U30" s="543"/>
      <c r="V30" s="543"/>
    </row>
    <row r="31" spans="1:22" s="567" customFormat="1" ht="12.75">
      <c r="A31" s="561">
        <f>+A29+1</f>
        <v>8</v>
      </c>
      <c r="B31" s="569" t="s">
        <v>216</v>
      </c>
      <c r="C31" s="570"/>
      <c r="D31" s="571"/>
      <c r="E31" s="571"/>
      <c r="F31" s="571"/>
      <c r="G31" s="577"/>
      <c r="H31" s="563"/>
      <c r="I31" s="583">
        <f>SUM(I27:I29)</f>
        <v>147333673.38</v>
      </c>
      <c r="J31" s="583">
        <f>SUM(J27:J29)</f>
        <v>141342987.91999999</v>
      </c>
      <c r="K31" s="583">
        <f>SUM(K27:K29)</f>
        <v>5990685.46</v>
      </c>
      <c r="L31" s="565"/>
      <c r="M31" s="565"/>
      <c r="N31" s="543"/>
      <c r="O31" s="543"/>
      <c r="P31" s="543"/>
      <c r="Q31" s="543"/>
      <c r="R31" s="543"/>
      <c r="S31" s="543"/>
      <c r="T31" s="543"/>
      <c r="U31" s="543"/>
      <c r="V31" s="543"/>
    </row>
    <row r="32" spans="1:22" s="567" customFormat="1" ht="12.75">
      <c r="A32" s="561"/>
      <c r="B32" s="569"/>
      <c r="C32" s="570"/>
      <c r="D32" s="571"/>
      <c r="E32" s="571"/>
      <c r="F32" s="571"/>
      <c r="G32" s="577"/>
      <c r="H32" s="563"/>
      <c r="I32" s="582"/>
      <c r="J32" s="582"/>
      <c r="K32" s="582"/>
      <c r="L32" s="565"/>
      <c r="M32" s="565"/>
      <c r="N32" s="543"/>
      <c r="O32" s="543"/>
      <c r="P32" s="543"/>
      <c r="Q32" s="543"/>
      <c r="R32" s="543"/>
      <c r="S32" s="543"/>
      <c r="T32" s="543"/>
      <c r="U32" s="543"/>
      <c r="V32" s="543"/>
    </row>
    <row r="33" spans="1:41" s="567" customFormat="1" ht="12.75">
      <c r="A33" s="561"/>
      <c r="B33" s="569"/>
      <c r="C33" s="570"/>
      <c r="D33" s="571"/>
      <c r="E33" s="571"/>
      <c r="F33" s="571"/>
      <c r="G33" s="577"/>
      <c r="H33" s="563"/>
      <c r="I33" s="582"/>
      <c r="J33" s="582"/>
      <c r="K33" s="582"/>
      <c r="L33" s="565"/>
      <c r="M33" s="565"/>
      <c r="N33" s="543"/>
      <c r="O33" s="543"/>
      <c r="P33" s="543"/>
      <c r="Q33" s="543"/>
      <c r="R33" s="543"/>
      <c r="S33" s="543"/>
      <c r="T33" s="543"/>
      <c r="U33" s="543"/>
      <c r="V33" s="543"/>
    </row>
    <row r="34" spans="1:41" s="567" customFormat="1" ht="12.75">
      <c r="A34" s="1129"/>
      <c r="L34" s="565"/>
      <c r="M34" s="565"/>
      <c r="N34" s="543"/>
      <c r="O34" s="543"/>
      <c r="P34" s="543"/>
      <c r="Q34" s="543"/>
      <c r="R34" s="543"/>
      <c r="S34" s="543"/>
      <c r="T34" s="543"/>
      <c r="U34" s="543"/>
      <c r="V34" s="543"/>
    </row>
    <row r="35" spans="1:41">
      <c r="A35" s="1130"/>
      <c r="B35" s="543"/>
      <c r="C35" s="562"/>
      <c r="D35" s="563"/>
      <c r="E35" s="563"/>
      <c r="F35" s="563"/>
      <c r="G35" s="576"/>
      <c r="H35" s="563"/>
      <c r="I35" s="563"/>
      <c r="J35" s="563"/>
      <c r="K35" s="563"/>
      <c r="L35" s="584"/>
      <c r="M35" s="585"/>
      <c r="N35" s="519"/>
      <c r="O35" s="552"/>
      <c r="P35" s="552"/>
      <c r="Q35" s="552"/>
      <c r="R35" s="552"/>
      <c r="S35" s="519"/>
      <c r="T35" s="519"/>
      <c r="U35" s="519"/>
      <c r="V35" s="519"/>
    </row>
    <row r="36" spans="1:41" ht="15" customHeight="1">
      <c r="A36" s="1118" t="s">
        <v>500</v>
      </c>
      <c r="B36" s="1423"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Appalachian Power Company's general ledger. The functional amounts identified as transmission revenue also come from the general ledger. </v>
      </c>
      <c r="C36" s="1423"/>
      <c r="D36" s="1423"/>
      <c r="E36" s="1423"/>
      <c r="F36" s="1423"/>
      <c r="G36" s="1423"/>
      <c r="H36" s="1423"/>
      <c r="I36" s="1423"/>
      <c r="J36" s="1423"/>
      <c r="K36" s="543"/>
      <c r="L36" s="587"/>
      <c r="M36" s="587"/>
      <c r="N36" s="519"/>
      <c r="O36" s="552"/>
      <c r="P36" s="552"/>
      <c r="Q36" s="552"/>
      <c r="R36" s="552"/>
      <c r="S36" s="519"/>
      <c r="T36" s="555"/>
      <c r="U36" s="519"/>
      <c r="V36" s="519"/>
    </row>
    <row r="37" spans="1:41" ht="15.75">
      <c r="A37" s="1118"/>
      <c r="B37" s="1423"/>
      <c r="C37" s="1423"/>
      <c r="D37" s="1423"/>
      <c r="E37" s="1423"/>
      <c r="F37" s="1423"/>
      <c r="G37" s="1423"/>
      <c r="H37" s="1423"/>
      <c r="I37" s="1423"/>
      <c r="J37" s="1423"/>
      <c r="K37" s="543"/>
      <c r="L37" s="518"/>
      <c r="M37" s="588"/>
      <c r="N37" s="588"/>
      <c r="O37" s="588"/>
      <c r="P37" s="588"/>
      <c r="Q37" s="588"/>
      <c r="R37" s="518"/>
      <c r="S37" s="518"/>
      <c r="T37" s="518"/>
      <c r="U37" s="518"/>
      <c r="V37" s="518"/>
      <c r="W37" s="557"/>
      <c r="X37" s="557"/>
      <c r="Y37" s="557"/>
      <c r="Z37" s="557"/>
      <c r="AA37" s="557"/>
      <c r="AB37" s="557"/>
      <c r="AC37" s="557"/>
      <c r="AD37" s="557"/>
      <c r="AE37" s="557"/>
      <c r="AF37" s="557"/>
      <c r="AG37" s="557"/>
      <c r="AH37" s="557"/>
      <c r="AI37" s="557"/>
      <c r="AJ37" s="557"/>
      <c r="AK37" s="557"/>
      <c r="AL37" s="557"/>
      <c r="AM37" s="557"/>
      <c r="AN37" s="557"/>
      <c r="AO37" s="557"/>
    </row>
    <row r="38" spans="1:41" ht="15.75">
      <c r="A38" s="1118" t="s">
        <v>631</v>
      </c>
      <c r="B38" s="1127" t="s">
        <v>632</v>
      </c>
      <c r="C38" s="1128"/>
      <c r="D38" s="1128"/>
      <c r="E38" s="1128"/>
      <c r="F38" s="1128"/>
      <c r="G38" s="1128"/>
      <c r="H38" s="1128"/>
      <c r="I38" s="586"/>
      <c r="J38" s="586"/>
      <c r="K38" s="589"/>
      <c r="L38" s="518"/>
      <c r="M38" s="588"/>
      <c r="N38" s="588"/>
      <c r="O38" s="588"/>
      <c r="P38" s="588"/>
      <c r="Q38" s="588"/>
      <c r="R38" s="518"/>
      <c r="S38" s="518"/>
      <c r="T38" s="518"/>
      <c r="U38" s="518"/>
      <c r="V38" s="518"/>
      <c r="W38" s="557"/>
      <c r="X38" s="557"/>
      <c r="Y38" s="557"/>
      <c r="Z38" s="557"/>
      <c r="AA38" s="557"/>
      <c r="AB38" s="557"/>
      <c r="AC38" s="557"/>
      <c r="AD38" s="557"/>
      <c r="AE38" s="557"/>
      <c r="AF38" s="557"/>
      <c r="AG38" s="557"/>
      <c r="AH38" s="557"/>
      <c r="AI38" s="557"/>
      <c r="AJ38" s="557"/>
      <c r="AK38" s="557"/>
      <c r="AL38" s="557"/>
      <c r="AM38" s="557"/>
      <c r="AN38" s="557"/>
      <c r="AO38" s="557"/>
    </row>
    <row r="39" spans="1:41" ht="15.75">
      <c r="A39" s="561">
        <f>+A31+1</f>
        <v>9</v>
      </c>
      <c r="B39" s="574" t="s">
        <v>535</v>
      </c>
      <c r="C39" s="543"/>
      <c r="D39" s="563"/>
      <c r="E39" s="563"/>
      <c r="F39" s="563"/>
      <c r="G39" s="576"/>
      <c r="H39" s="563"/>
      <c r="I39" s="582"/>
      <c r="J39" s="582"/>
      <c r="K39" s="862">
        <v>0</v>
      </c>
      <c r="L39" s="518"/>
      <c r="M39" s="588"/>
      <c r="N39" s="588"/>
      <c r="O39" s="588"/>
      <c r="P39" s="588"/>
      <c r="Q39" s="588"/>
      <c r="R39" s="518"/>
      <c r="S39" s="518"/>
      <c r="T39" s="518"/>
      <c r="U39" s="518"/>
      <c r="V39" s="518"/>
      <c r="W39" s="557"/>
      <c r="X39" s="557"/>
      <c r="Y39" s="557"/>
      <c r="Z39" s="557"/>
      <c r="AA39" s="557"/>
      <c r="AB39" s="557"/>
      <c r="AC39" s="557"/>
      <c r="AD39" s="557"/>
      <c r="AE39" s="557"/>
      <c r="AF39" s="557"/>
      <c r="AG39" s="557"/>
      <c r="AH39" s="557"/>
      <c r="AI39" s="557"/>
      <c r="AJ39" s="557"/>
      <c r="AK39" s="557"/>
      <c r="AL39" s="557"/>
      <c r="AM39" s="557"/>
      <c r="AN39" s="557"/>
      <c r="AO39" s="557"/>
    </row>
    <row r="40" spans="1:41" ht="15.75">
      <c r="A40" s="519"/>
      <c r="B40" s="518"/>
      <c r="E40" s="588"/>
      <c r="F40" s="588"/>
      <c r="G40" s="588"/>
      <c r="H40" s="588"/>
      <c r="I40" s="590"/>
      <c r="J40" s="588"/>
      <c r="K40" s="588"/>
      <c r="L40" s="518"/>
      <c r="M40" s="588"/>
      <c r="N40" s="588"/>
      <c r="O40" s="588"/>
      <c r="P40" s="588"/>
      <c r="Q40" s="588"/>
      <c r="R40" s="518"/>
      <c r="S40" s="518"/>
      <c r="T40" s="518"/>
      <c r="U40" s="518"/>
      <c r="V40" s="518"/>
      <c r="W40" s="557"/>
      <c r="X40" s="557"/>
      <c r="Y40" s="557"/>
      <c r="Z40" s="557"/>
      <c r="AA40" s="557"/>
      <c r="AB40" s="557"/>
      <c r="AC40" s="557"/>
      <c r="AD40" s="557"/>
      <c r="AE40" s="557"/>
      <c r="AF40" s="557"/>
      <c r="AG40" s="557"/>
      <c r="AH40" s="557"/>
      <c r="AI40" s="557"/>
      <c r="AJ40" s="557"/>
      <c r="AK40" s="557"/>
      <c r="AL40" s="557"/>
      <c r="AM40" s="557"/>
      <c r="AN40" s="557"/>
      <c r="AO40" s="557"/>
    </row>
    <row r="41" spans="1:41" ht="15.75">
      <c r="A41" s="519"/>
      <c r="B41" s="518"/>
      <c r="E41" s="588"/>
      <c r="F41" s="588"/>
      <c r="G41" s="588"/>
      <c r="H41" s="588"/>
      <c r="I41" s="588" t="s">
        <v>115</v>
      </c>
      <c r="J41" s="588"/>
      <c r="K41" s="588"/>
      <c r="L41" s="518"/>
      <c r="M41" s="588"/>
      <c r="N41" s="588"/>
      <c r="O41" s="588"/>
      <c r="P41" s="588"/>
      <c r="Q41" s="588"/>
      <c r="R41" s="518"/>
      <c r="S41" s="518"/>
      <c r="T41" s="518"/>
      <c r="U41" s="518"/>
      <c r="V41" s="518"/>
      <c r="W41" s="557"/>
      <c r="X41" s="557"/>
      <c r="Y41" s="557"/>
      <c r="Z41" s="557"/>
      <c r="AA41" s="557"/>
      <c r="AB41" s="557"/>
      <c r="AC41" s="557"/>
      <c r="AD41" s="557"/>
      <c r="AE41" s="557"/>
      <c r="AF41" s="557"/>
      <c r="AG41" s="557"/>
      <c r="AH41" s="557"/>
      <c r="AI41" s="557"/>
      <c r="AJ41" s="557"/>
      <c r="AK41" s="557"/>
      <c r="AL41" s="557"/>
      <c r="AM41" s="557"/>
      <c r="AN41" s="557"/>
      <c r="AO41" s="557"/>
    </row>
    <row r="42" spans="1:41" ht="15.75">
      <c r="A42" s="519"/>
      <c r="B42" s="518"/>
      <c r="E42" s="588"/>
      <c r="F42" s="588"/>
      <c r="G42" s="588"/>
      <c r="H42" s="588"/>
      <c r="I42" s="588" t="s">
        <v>115</v>
      </c>
      <c r="J42" s="588"/>
      <c r="K42" s="588"/>
      <c r="L42" s="518"/>
      <c r="M42" s="588"/>
      <c r="N42" s="588"/>
      <c r="O42" s="588"/>
      <c r="P42" s="588"/>
      <c r="Q42" s="588"/>
      <c r="R42" s="518"/>
      <c r="S42" s="518"/>
      <c r="T42" s="518"/>
      <c r="U42" s="518"/>
      <c r="V42" s="518"/>
      <c r="W42" s="557"/>
      <c r="X42" s="557"/>
      <c r="Y42" s="557"/>
      <c r="Z42" s="557"/>
      <c r="AA42" s="557"/>
      <c r="AB42" s="557"/>
      <c r="AC42" s="557"/>
      <c r="AD42" s="557"/>
      <c r="AE42" s="557"/>
      <c r="AF42" s="557"/>
      <c r="AG42" s="557"/>
      <c r="AH42" s="557"/>
      <c r="AI42" s="557"/>
      <c r="AJ42" s="557"/>
      <c r="AK42" s="557"/>
      <c r="AL42" s="557"/>
      <c r="AM42" s="557"/>
      <c r="AN42" s="557"/>
      <c r="AO42" s="557"/>
    </row>
    <row r="43" spans="1:41" ht="15.75">
      <c r="A43" s="519"/>
      <c r="B43" s="518"/>
      <c r="E43" s="588"/>
      <c r="F43" s="588"/>
      <c r="G43" s="588"/>
      <c r="H43" s="588"/>
      <c r="I43" s="588"/>
      <c r="J43" s="588"/>
      <c r="K43" s="588"/>
      <c r="L43" s="518"/>
      <c r="M43" s="588"/>
      <c r="N43" s="588"/>
      <c r="O43" s="588"/>
      <c r="P43" s="588"/>
      <c r="Q43" s="588"/>
      <c r="R43" s="518"/>
      <c r="S43" s="518"/>
      <c r="T43" s="518"/>
      <c r="U43" s="518"/>
      <c r="V43" s="518"/>
      <c r="W43" s="557"/>
      <c r="X43" s="557"/>
      <c r="Y43" s="557"/>
      <c r="Z43" s="557"/>
      <c r="AA43" s="557"/>
      <c r="AB43" s="557"/>
      <c r="AC43" s="557"/>
      <c r="AD43" s="557"/>
      <c r="AE43" s="557"/>
      <c r="AF43" s="557"/>
      <c r="AG43" s="557"/>
      <c r="AH43" s="557"/>
      <c r="AI43" s="557"/>
      <c r="AJ43" s="557"/>
      <c r="AK43" s="557"/>
      <c r="AL43" s="557"/>
      <c r="AM43" s="557"/>
      <c r="AN43" s="557"/>
      <c r="AO43" s="557"/>
    </row>
    <row r="44" spans="1:41" ht="15.75">
      <c r="A44" s="519"/>
      <c r="B44" s="518"/>
      <c r="E44" s="588"/>
      <c r="F44" s="588"/>
      <c r="G44" s="588"/>
      <c r="H44" s="588"/>
      <c r="I44" s="588"/>
      <c r="J44" s="588"/>
      <c r="K44" s="588"/>
      <c r="L44" s="518"/>
      <c r="M44" s="588"/>
      <c r="N44" s="588"/>
      <c r="O44" s="588"/>
      <c r="P44" s="588"/>
      <c r="Q44" s="588"/>
      <c r="R44" s="518"/>
      <c r="S44" s="518"/>
      <c r="T44" s="518"/>
      <c r="U44" s="518"/>
      <c r="V44" s="518"/>
      <c r="W44" s="557"/>
      <c r="X44" s="557"/>
      <c r="Y44" s="557"/>
      <c r="Z44" s="557"/>
      <c r="AA44" s="557"/>
      <c r="AB44" s="557"/>
      <c r="AC44" s="557"/>
      <c r="AD44" s="557"/>
      <c r="AE44" s="557"/>
      <c r="AF44" s="557"/>
      <c r="AG44" s="557"/>
      <c r="AH44" s="557"/>
      <c r="AI44" s="557"/>
      <c r="AJ44" s="557"/>
      <c r="AK44" s="557"/>
      <c r="AL44" s="557"/>
      <c r="AM44" s="557"/>
      <c r="AN44" s="557"/>
      <c r="AO44" s="557"/>
    </row>
    <row r="45" spans="1:41" ht="15.75">
      <c r="A45" s="519"/>
      <c r="B45" s="518"/>
      <c r="E45" s="588"/>
      <c r="F45" s="588"/>
      <c r="G45" s="588"/>
      <c r="H45" s="588"/>
      <c r="I45" s="588"/>
      <c r="J45" s="588"/>
      <c r="K45" s="588"/>
      <c r="L45" s="518"/>
      <c r="M45" s="588"/>
      <c r="N45" s="588"/>
      <c r="O45" s="588"/>
      <c r="P45" s="588"/>
      <c r="Q45" s="588"/>
      <c r="R45" s="518"/>
      <c r="S45" s="518"/>
      <c r="T45" s="518"/>
      <c r="U45" s="518"/>
      <c r="V45" s="518"/>
      <c r="W45" s="557"/>
      <c r="X45" s="557"/>
      <c r="Y45" s="557"/>
      <c r="Z45" s="557"/>
      <c r="AA45" s="557"/>
      <c r="AB45" s="557"/>
      <c r="AC45" s="557"/>
      <c r="AD45" s="557"/>
      <c r="AE45" s="557"/>
      <c r="AF45" s="557"/>
      <c r="AG45" s="557"/>
      <c r="AH45" s="557"/>
      <c r="AI45" s="557"/>
      <c r="AJ45" s="557"/>
      <c r="AK45" s="557"/>
      <c r="AL45" s="557"/>
      <c r="AM45" s="557"/>
      <c r="AN45" s="557"/>
      <c r="AO45" s="557"/>
    </row>
    <row r="46" spans="1:41" ht="15.75">
      <c r="A46" s="519"/>
      <c r="B46" s="518"/>
      <c r="E46" s="588"/>
      <c r="F46" s="588"/>
      <c r="G46" s="588"/>
      <c r="H46" s="588"/>
      <c r="I46" s="588"/>
      <c r="J46" s="588"/>
      <c r="K46" s="588"/>
      <c r="L46" s="518"/>
      <c r="M46" s="588"/>
      <c r="N46" s="588"/>
      <c r="O46" s="588"/>
      <c r="P46" s="588"/>
      <c r="Q46" s="588"/>
      <c r="R46" s="518"/>
      <c r="S46" s="518"/>
      <c r="T46" s="518"/>
      <c r="U46" s="518"/>
      <c r="V46" s="518"/>
      <c r="W46" s="557"/>
      <c r="X46" s="557"/>
      <c r="Y46" s="557"/>
      <c r="Z46" s="557"/>
      <c r="AA46" s="557"/>
      <c r="AB46" s="557"/>
      <c r="AC46" s="557"/>
      <c r="AD46" s="557"/>
      <c r="AE46" s="557"/>
      <c r="AF46" s="557"/>
      <c r="AG46" s="557"/>
      <c r="AH46" s="557"/>
      <c r="AI46" s="557"/>
      <c r="AJ46" s="557"/>
      <c r="AK46" s="557"/>
      <c r="AL46" s="557"/>
      <c r="AM46" s="557"/>
      <c r="AN46" s="557"/>
      <c r="AO46" s="557"/>
    </row>
    <row r="47" spans="1:41" ht="15.75">
      <c r="A47" s="519"/>
      <c r="B47" s="518"/>
      <c r="E47" s="588"/>
      <c r="F47" s="588"/>
      <c r="G47" s="588"/>
      <c r="H47" s="588"/>
      <c r="I47" s="588"/>
      <c r="J47" s="588"/>
      <c r="K47" s="588"/>
      <c r="L47" s="518"/>
      <c r="M47" s="588"/>
      <c r="N47" s="588"/>
      <c r="O47" s="588"/>
      <c r="P47" s="588"/>
      <c r="Q47" s="588"/>
      <c r="R47" s="518"/>
      <c r="S47" s="518"/>
      <c r="T47" s="518"/>
      <c r="U47" s="518"/>
      <c r="V47" s="518"/>
      <c r="W47" s="557"/>
      <c r="X47" s="557"/>
      <c r="Y47" s="557"/>
      <c r="Z47" s="557"/>
      <c r="AA47" s="557"/>
      <c r="AB47" s="557"/>
      <c r="AC47" s="557"/>
      <c r="AD47" s="557"/>
      <c r="AE47" s="557"/>
      <c r="AF47" s="557"/>
      <c r="AG47" s="557"/>
      <c r="AH47" s="557"/>
      <c r="AI47" s="557"/>
      <c r="AJ47" s="557"/>
      <c r="AK47" s="557"/>
      <c r="AL47" s="557"/>
      <c r="AM47" s="557"/>
      <c r="AN47" s="557"/>
      <c r="AO47" s="557"/>
    </row>
    <row r="48" spans="1:41" ht="15.75">
      <c r="A48" s="519"/>
      <c r="B48" s="518"/>
      <c r="E48" s="588"/>
      <c r="F48" s="588"/>
      <c r="G48" s="588"/>
      <c r="H48" s="588"/>
      <c r="I48" s="588"/>
      <c r="J48" s="588"/>
      <c r="K48" s="588"/>
      <c r="L48" s="518"/>
      <c r="M48" s="588"/>
      <c r="N48" s="588"/>
      <c r="O48" s="588"/>
      <c r="P48" s="588"/>
      <c r="Q48" s="588"/>
      <c r="R48" s="518"/>
      <c r="S48" s="518"/>
      <c r="T48" s="518"/>
      <c r="U48" s="518"/>
      <c r="V48" s="518"/>
      <c r="W48" s="557"/>
      <c r="X48" s="557"/>
      <c r="Y48" s="557"/>
      <c r="Z48" s="557"/>
      <c r="AA48" s="557"/>
      <c r="AB48" s="557"/>
      <c r="AC48" s="557"/>
      <c r="AD48" s="557"/>
      <c r="AE48" s="557"/>
      <c r="AF48" s="557"/>
      <c r="AG48" s="557"/>
      <c r="AH48" s="557"/>
      <c r="AI48" s="557"/>
      <c r="AJ48" s="557"/>
      <c r="AK48" s="557"/>
      <c r="AL48" s="557"/>
      <c r="AM48" s="557"/>
      <c r="AN48" s="557"/>
      <c r="AO48" s="557"/>
    </row>
    <row r="49" spans="1:41" ht="15.75">
      <c r="I49" s="588"/>
      <c r="J49" s="588"/>
      <c r="K49" s="588"/>
      <c r="L49" s="518"/>
      <c r="M49" s="588"/>
      <c r="N49" s="588"/>
      <c r="O49" s="588"/>
      <c r="P49" s="588"/>
      <c r="Q49" s="588"/>
      <c r="R49" s="518"/>
      <c r="S49" s="518"/>
      <c r="T49" s="518"/>
      <c r="U49" s="518"/>
      <c r="V49" s="518"/>
      <c r="W49" s="557"/>
      <c r="X49" s="557"/>
      <c r="Y49" s="557"/>
      <c r="Z49" s="557"/>
      <c r="AA49" s="557"/>
      <c r="AB49" s="557"/>
      <c r="AC49" s="557"/>
      <c r="AD49" s="557"/>
      <c r="AE49" s="557"/>
      <c r="AF49" s="557"/>
      <c r="AG49" s="557"/>
      <c r="AH49" s="557"/>
      <c r="AI49" s="557"/>
      <c r="AJ49" s="557"/>
      <c r="AK49" s="557"/>
      <c r="AL49" s="557"/>
      <c r="AM49" s="557"/>
      <c r="AN49" s="557"/>
      <c r="AO49" s="557"/>
    </row>
    <row r="50" spans="1:41" ht="15.75">
      <c r="A50" s="519"/>
      <c r="B50" s="518"/>
      <c r="E50" s="588"/>
      <c r="F50" s="588"/>
      <c r="G50" s="588"/>
      <c r="H50" s="588"/>
      <c r="I50" s="588"/>
      <c r="J50" s="588"/>
      <c r="K50" s="588"/>
      <c r="L50" s="518"/>
      <c r="M50" s="588"/>
      <c r="N50" s="588"/>
      <c r="O50" s="588"/>
      <c r="P50" s="588"/>
      <c r="Q50" s="588"/>
      <c r="R50" s="518"/>
      <c r="S50" s="518"/>
      <c r="T50" s="518"/>
      <c r="U50" s="518"/>
      <c r="V50" s="518"/>
      <c r="W50" s="557"/>
      <c r="X50" s="557"/>
      <c r="Y50" s="557"/>
      <c r="Z50" s="557"/>
      <c r="AA50" s="557"/>
      <c r="AB50" s="557"/>
      <c r="AC50" s="557"/>
      <c r="AD50" s="557"/>
      <c r="AE50" s="557"/>
      <c r="AF50" s="557"/>
      <c r="AG50" s="557"/>
      <c r="AH50" s="557"/>
      <c r="AI50" s="557"/>
      <c r="AJ50" s="557"/>
      <c r="AK50" s="557"/>
      <c r="AL50" s="557"/>
      <c r="AM50" s="557"/>
      <c r="AN50" s="557"/>
      <c r="AO50" s="557"/>
    </row>
    <row r="51" spans="1:41" ht="15.75">
      <c r="A51" s="519"/>
      <c r="B51" s="518"/>
      <c r="E51" s="588"/>
      <c r="F51" s="588"/>
      <c r="G51" s="588"/>
      <c r="H51" s="588"/>
      <c r="I51" s="588"/>
      <c r="J51" s="588"/>
      <c r="K51" s="588"/>
      <c r="L51" s="518"/>
      <c r="M51" s="588"/>
      <c r="N51" s="588"/>
      <c r="O51" s="588"/>
      <c r="P51" s="588"/>
      <c r="Q51" s="588"/>
      <c r="R51" s="518"/>
      <c r="S51" s="518"/>
      <c r="T51" s="518"/>
      <c r="U51" s="518"/>
      <c r="V51" s="518"/>
      <c r="W51" s="557"/>
      <c r="X51" s="557"/>
      <c r="Y51" s="557"/>
      <c r="Z51" s="557"/>
      <c r="AA51" s="557"/>
      <c r="AB51" s="557"/>
      <c r="AC51" s="557"/>
      <c r="AD51" s="557"/>
      <c r="AE51" s="557"/>
      <c r="AF51" s="557"/>
      <c r="AG51" s="557"/>
      <c r="AH51" s="557"/>
      <c r="AI51" s="557"/>
      <c r="AJ51" s="557"/>
      <c r="AK51" s="557"/>
      <c r="AL51" s="557"/>
      <c r="AM51" s="557"/>
      <c r="AN51" s="557"/>
      <c r="AO51" s="557"/>
    </row>
    <row r="52" spans="1:41" ht="15.75">
      <c r="A52" s="519"/>
      <c r="B52" s="518"/>
      <c r="E52" s="588"/>
      <c r="F52" s="588"/>
      <c r="G52" s="588"/>
      <c r="H52" s="588"/>
      <c r="I52" s="588"/>
      <c r="J52" s="588"/>
      <c r="K52" s="588"/>
      <c r="L52" s="518"/>
      <c r="M52" s="588"/>
      <c r="N52" s="588"/>
      <c r="O52" s="588"/>
      <c r="P52" s="588"/>
      <c r="Q52" s="588"/>
      <c r="R52" s="518"/>
      <c r="S52" s="518"/>
      <c r="T52" s="518"/>
      <c r="U52" s="518"/>
      <c r="V52" s="518"/>
      <c r="W52" s="557"/>
      <c r="X52" s="557"/>
      <c r="Y52" s="557"/>
      <c r="Z52" s="557"/>
      <c r="AA52" s="557"/>
      <c r="AB52" s="557"/>
      <c r="AC52" s="557"/>
      <c r="AD52" s="557"/>
      <c r="AE52" s="557"/>
      <c r="AF52" s="557"/>
      <c r="AG52" s="557"/>
      <c r="AH52" s="557"/>
      <c r="AI52" s="557"/>
      <c r="AJ52" s="557"/>
      <c r="AK52" s="557"/>
      <c r="AL52" s="557"/>
      <c r="AM52" s="557"/>
      <c r="AN52" s="557"/>
      <c r="AO52" s="557"/>
    </row>
    <row r="53" spans="1:41" ht="15.75">
      <c r="A53" s="519"/>
      <c r="B53" s="518"/>
      <c r="E53" s="588"/>
      <c r="F53" s="588"/>
      <c r="G53" s="588"/>
      <c r="H53" s="588"/>
      <c r="I53" s="588"/>
      <c r="J53" s="588"/>
      <c r="K53" s="588"/>
      <c r="L53" s="518"/>
      <c r="M53" s="588"/>
      <c r="N53" s="588"/>
      <c r="O53" s="588"/>
      <c r="P53" s="588"/>
      <c r="Q53" s="588"/>
      <c r="R53" s="518"/>
      <c r="S53" s="518"/>
      <c r="T53" s="518"/>
      <c r="U53" s="518"/>
      <c r="V53" s="518"/>
      <c r="W53" s="557"/>
      <c r="X53" s="557"/>
      <c r="Y53" s="557"/>
      <c r="Z53" s="557"/>
      <c r="AA53" s="557"/>
      <c r="AB53" s="557"/>
      <c r="AC53" s="557"/>
      <c r="AD53" s="557"/>
      <c r="AE53" s="557"/>
      <c r="AF53" s="557"/>
      <c r="AG53" s="557"/>
      <c r="AH53" s="557"/>
      <c r="AI53" s="557"/>
      <c r="AJ53" s="557"/>
      <c r="AK53" s="557"/>
      <c r="AL53" s="557"/>
      <c r="AM53" s="557"/>
      <c r="AN53" s="557"/>
      <c r="AO53" s="557"/>
    </row>
    <row r="54" spans="1:41" ht="15.75">
      <c r="A54" s="519"/>
      <c r="B54" s="518"/>
      <c r="E54" s="588"/>
      <c r="F54" s="588"/>
      <c r="G54" s="588"/>
      <c r="H54" s="588"/>
      <c r="I54" s="588"/>
      <c r="J54" s="588"/>
      <c r="K54" s="588"/>
      <c r="L54" s="518"/>
      <c r="M54" s="588"/>
      <c r="N54" s="588"/>
      <c r="O54" s="588"/>
      <c r="P54" s="588"/>
      <c r="Q54" s="588"/>
      <c r="R54" s="518"/>
      <c r="S54" s="518"/>
      <c r="T54" s="518"/>
      <c r="U54" s="518"/>
      <c r="V54" s="518"/>
      <c r="W54" s="557"/>
      <c r="X54" s="557"/>
      <c r="Y54" s="557"/>
      <c r="Z54" s="557"/>
      <c r="AA54" s="557"/>
      <c r="AB54" s="557"/>
      <c r="AC54" s="557"/>
      <c r="AD54" s="557"/>
      <c r="AE54" s="557"/>
      <c r="AF54" s="557"/>
      <c r="AG54" s="557"/>
      <c r="AH54" s="557"/>
      <c r="AI54" s="557"/>
      <c r="AJ54" s="557"/>
      <c r="AK54" s="557"/>
      <c r="AL54" s="557"/>
      <c r="AM54" s="557"/>
      <c r="AN54" s="557"/>
      <c r="AO54" s="557"/>
    </row>
    <row r="55" spans="1:41" ht="15.75">
      <c r="A55" s="519"/>
      <c r="B55" s="518"/>
      <c r="E55" s="588"/>
      <c r="F55" s="588"/>
      <c r="G55" s="588"/>
      <c r="H55" s="588"/>
      <c r="I55" s="588"/>
      <c r="J55" s="588"/>
      <c r="K55" s="588"/>
      <c r="L55" s="518"/>
      <c r="M55" s="588"/>
      <c r="N55" s="588"/>
      <c r="O55" s="588"/>
      <c r="P55" s="588"/>
      <c r="Q55" s="588"/>
      <c r="R55" s="518"/>
      <c r="S55" s="518"/>
      <c r="T55" s="518"/>
      <c r="U55" s="518"/>
      <c r="V55" s="518"/>
      <c r="W55" s="557"/>
      <c r="X55" s="557"/>
      <c r="Y55" s="557"/>
      <c r="Z55" s="557"/>
      <c r="AA55" s="557"/>
      <c r="AB55" s="557"/>
      <c r="AC55" s="557"/>
      <c r="AD55" s="557"/>
      <c r="AE55" s="557"/>
      <c r="AF55" s="557"/>
      <c r="AG55" s="557"/>
      <c r="AH55" s="557"/>
      <c r="AI55" s="557"/>
      <c r="AJ55" s="557"/>
      <c r="AK55" s="557"/>
      <c r="AL55" s="557"/>
      <c r="AM55" s="557"/>
      <c r="AN55" s="557"/>
      <c r="AO55" s="557"/>
    </row>
    <row r="56" spans="1:41" ht="15.75">
      <c r="A56" s="519"/>
      <c r="B56" s="518"/>
      <c r="E56" s="588"/>
      <c r="F56" s="588"/>
      <c r="G56" s="588"/>
      <c r="H56" s="588"/>
      <c r="I56" s="588"/>
      <c r="J56" s="588"/>
      <c r="K56" s="588"/>
      <c r="L56" s="518"/>
      <c r="M56" s="588"/>
      <c r="N56" s="588"/>
      <c r="O56" s="588"/>
      <c r="P56" s="588"/>
      <c r="Q56" s="588"/>
      <c r="R56" s="518"/>
      <c r="S56" s="518"/>
      <c r="T56" s="518"/>
      <c r="U56" s="518"/>
      <c r="V56" s="518"/>
      <c r="W56" s="557"/>
      <c r="X56" s="557"/>
      <c r="Y56" s="557"/>
      <c r="Z56" s="557"/>
      <c r="AA56" s="557"/>
      <c r="AB56" s="557"/>
      <c r="AC56" s="557"/>
      <c r="AD56" s="557"/>
      <c r="AE56" s="557"/>
      <c r="AF56" s="557"/>
      <c r="AG56" s="557"/>
      <c r="AH56" s="557"/>
      <c r="AI56" s="557"/>
      <c r="AJ56" s="557"/>
      <c r="AK56" s="557"/>
      <c r="AL56" s="557"/>
      <c r="AM56" s="557"/>
      <c r="AN56" s="557"/>
      <c r="AO56" s="557"/>
    </row>
    <row r="57" spans="1:41" ht="15.75">
      <c r="A57" s="519"/>
      <c r="B57" s="518"/>
      <c r="E57" s="588"/>
      <c r="F57" s="588"/>
      <c r="G57" s="588"/>
      <c r="H57" s="588"/>
      <c r="I57" s="588"/>
      <c r="J57" s="588"/>
      <c r="K57" s="588"/>
      <c r="L57" s="518"/>
      <c r="M57" s="588"/>
      <c r="N57" s="588"/>
      <c r="O57" s="588"/>
      <c r="P57" s="588"/>
      <c r="Q57" s="588"/>
      <c r="R57" s="518"/>
      <c r="S57" s="518"/>
      <c r="T57" s="518"/>
      <c r="U57" s="518"/>
      <c r="V57" s="518"/>
      <c r="W57" s="557"/>
      <c r="X57" s="557"/>
      <c r="Y57" s="557"/>
      <c r="Z57" s="557"/>
      <c r="AA57" s="557"/>
      <c r="AB57" s="557"/>
      <c r="AC57" s="557"/>
      <c r="AD57" s="557"/>
      <c r="AE57" s="557"/>
      <c r="AF57" s="557"/>
      <c r="AG57" s="557"/>
      <c r="AH57" s="557"/>
      <c r="AI57" s="557"/>
      <c r="AJ57" s="557"/>
      <c r="AK57" s="557"/>
      <c r="AL57" s="557"/>
      <c r="AM57" s="557"/>
      <c r="AN57" s="557"/>
      <c r="AO57" s="557"/>
    </row>
    <row r="58" spans="1:41" ht="15.75">
      <c r="A58" s="519"/>
      <c r="B58" s="518"/>
      <c r="E58" s="588"/>
      <c r="F58" s="588"/>
      <c r="G58" s="588"/>
      <c r="H58" s="588"/>
      <c r="I58" s="588"/>
      <c r="J58" s="588"/>
      <c r="K58" s="588"/>
      <c r="L58" s="518"/>
      <c r="M58" s="588"/>
      <c r="N58" s="588"/>
      <c r="O58" s="588"/>
      <c r="P58" s="588"/>
      <c r="Q58" s="588"/>
      <c r="R58" s="518"/>
      <c r="S58" s="518"/>
      <c r="T58" s="518"/>
      <c r="U58" s="518"/>
      <c r="V58" s="518"/>
      <c r="W58" s="557"/>
      <c r="X58" s="557"/>
      <c r="Y58" s="557"/>
      <c r="Z58" s="557"/>
      <c r="AA58" s="557"/>
      <c r="AB58" s="557"/>
      <c r="AC58" s="557"/>
      <c r="AD58" s="557"/>
      <c r="AE58" s="557"/>
      <c r="AF58" s="557"/>
      <c r="AG58" s="557"/>
      <c r="AH58" s="557"/>
      <c r="AI58" s="557"/>
      <c r="AJ58" s="557"/>
      <c r="AK58" s="557"/>
      <c r="AL58" s="557"/>
      <c r="AM58" s="557"/>
      <c r="AN58" s="557"/>
      <c r="AO58" s="557"/>
    </row>
    <row r="59" spans="1:41" ht="15.75">
      <c r="A59" s="519"/>
      <c r="B59" s="518"/>
      <c r="E59" s="588"/>
      <c r="F59" s="588"/>
      <c r="G59" s="588"/>
      <c r="H59" s="588"/>
      <c r="I59" s="588"/>
      <c r="J59" s="588"/>
      <c r="K59" s="588"/>
      <c r="L59" s="518"/>
      <c r="M59" s="588"/>
      <c r="N59" s="588"/>
      <c r="O59" s="588"/>
      <c r="P59" s="588"/>
      <c r="Q59" s="588"/>
      <c r="R59" s="518"/>
      <c r="S59" s="518"/>
      <c r="T59" s="518"/>
      <c r="U59" s="518"/>
      <c r="V59" s="518"/>
      <c r="W59" s="557"/>
      <c r="X59" s="557"/>
      <c r="Y59" s="557"/>
      <c r="Z59" s="557"/>
      <c r="AA59" s="557"/>
      <c r="AB59" s="557"/>
      <c r="AC59" s="557"/>
      <c r="AD59" s="557"/>
      <c r="AE59" s="557"/>
      <c r="AF59" s="557"/>
      <c r="AG59" s="557"/>
      <c r="AH59" s="557"/>
      <c r="AI59" s="557"/>
      <c r="AJ59" s="557"/>
      <c r="AK59" s="557"/>
      <c r="AL59" s="557"/>
      <c r="AM59" s="557"/>
      <c r="AN59" s="557"/>
      <c r="AO59" s="557"/>
    </row>
    <row r="60" spans="1:41" ht="15.75">
      <c r="A60" s="519"/>
      <c r="B60" s="518"/>
      <c r="E60" s="588"/>
      <c r="F60" s="588"/>
      <c r="G60" s="588"/>
      <c r="H60" s="588"/>
      <c r="I60" s="588"/>
      <c r="J60" s="588"/>
      <c r="K60" s="588"/>
      <c r="L60" s="518"/>
      <c r="M60" s="588"/>
      <c r="N60" s="588"/>
      <c r="O60" s="588"/>
      <c r="P60" s="588"/>
      <c r="Q60" s="588"/>
      <c r="R60" s="518"/>
      <c r="S60" s="518"/>
      <c r="T60" s="518"/>
      <c r="U60" s="518"/>
      <c r="V60" s="518"/>
      <c r="W60" s="557"/>
      <c r="X60" s="557"/>
      <c r="Y60" s="557"/>
      <c r="Z60" s="557"/>
      <c r="AA60" s="557"/>
      <c r="AB60" s="557"/>
      <c r="AC60" s="557"/>
      <c r="AD60" s="557"/>
      <c r="AE60" s="557"/>
      <c r="AF60" s="557"/>
      <c r="AG60" s="557"/>
      <c r="AH60" s="557"/>
      <c r="AI60" s="557"/>
      <c r="AJ60" s="557"/>
      <c r="AK60" s="557"/>
      <c r="AL60" s="557"/>
      <c r="AM60" s="557"/>
      <c r="AN60" s="557"/>
      <c r="AO60" s="557"/>
    </row>
    <row r="61" spans="1:41" ht="15.75">
      <c r="A61" s="519"/>
      <c r="B61" s="518"/>
      <c r="E61" s="588"/>
      <c r="F61" s="588"/>
      <c r="G61" s="588"/>
      <c r="H61" s="588"/>
      <c r="I61" s="588"/>
      <c r="J61" s="588"/>
      <c r="K61" s="588"/>
      <c r="L61" s="518"/>
      <c r="M61" s="588"/>
      <c r="N61" s="588"/>
      <c r="O61" s="588"/>
      <c r="P61" s="588"/>
      <c r="Q61" s="588"/>
      <c r="R61" s="518"/>
      <c r="S61" s="518"/>
      <c r="T61" s="518"/>
      <c r="U61" s="518"/>
      <c r="V61" s="518"/>
      <c r="W61" s="557"/>
      <c r="X61" s="557"/>
      <c r="Y61" s="557"/>
      <c r="Z61" s="557"/>
      <c r="AA61" s="557"/>
      <c r="AB61" s="557"/>
      <c r="AC61" s="557"/>
      <c r="AD61" s="557"/>
      <c r="AE61" s="557"/>
      <c r="AF61" s="557"/>
      <c r="AG61" s="557"/>
      <c r="AH61" s="557"/>
      <c r="AI61" s="557"/>
      <c r="AJ61" s="557"/>
      <c r="AK61" s="557"/>
      <c r="AL61" s="557"/>
      <c r="AM61" s="557"/>
      <c r="AN61" s="557"/>
      <c r="AO61" s="557"/>
    </row>
    <row r="62" spans="1:41" ht="15.75">
      <c r="A62" s="519"/>
      <c r="B62" s="518"/>
      <c r="E62" s="588"/>
      <c r="F62" s="588"/>
      <c r="G62" s="588"/>
      <c r="H62" s="588"/>
      <c r="I62" s="588"/>
      <c r="J62" s="588"/>
      <c r="K62" s="588"/>
      <c r="L62" s="518"/>
      <c r="M62" s="588"/>
      <c r="N62" s="588"/>
      <c r="O62" s="588"/>
      <c r="P62" s="588"/>
      <c r="Q62" s="588"/>
      <c r="R62" s="518"/>
      <c r="S62" s="518"/>
      <c r="T62" s="518"/>
      <c r="U62" s="518"/>
      <c r="V62" s="518"/>
      <c r="W62" s="557"/>
      <c r="X62" s="557"/>
      <c r="Y62" s="557"/>
      <c r="Z62" s="557"/>
      <c r="AA62" s="557"/>
      <c r="AB62" s="557"/>
      <c r="AC62" s="557"/>
      <c r="AD62" s="557"/>
      <c r="AE62" s="557"/>
      <c r="AF62" s="557"/>
      <c r="AG62" s="557"/>
      <c r="AH62" s="557"/>
      <c r="AI62" s="557"/>
      <c r="AJ62" s="557"/>
      <c r="AK62" s="557"/>
      <c r="AL62" s="557"/>
      <c r="AM62" s="557"/>
      <c r="AN62" s="557"/>
      <c r="AO62" s="557"/>
    </row>
    <row r="63" spans="1:41" ht="15.75">
      <c r="A63" s="519"/>
      <c r="B63" s="518"/>
      <c r="E63" s="588"/>
      <c r="F63" s="588"/>
      <c r="G63" s="588"/>
      <c r="H63" s="588"/>
      <c r="I63" s="588"/>
      <c r="J63" s="588"/>
      <c r="K63" s="588"/>
      <c r="L63" s="518"/>
      <c r="M63" s="588"/>
      <c r="N63" s="588"/>
      <c r="O63" s="588"/>
      <c r="P63" s="588"/>
      <c r="Q63" s="588"/>
      <c r="R63" s="518"/>
      <c r="S63" s="518"/>
      <c r="T63" s="518"/>
      <c r="U63" s="518"/>
      <c r="V63" s="518"/>
      <c r="W63" s="557"/>
      <c r="X63" s="557"/>
      <c r="Y63" s="557"/>
      <c r="Z63" s="557"/>
      <c r="AA63" s="557"/>
      <c r="AB63" s="557"/>
      <c r="AC63" s="557"/>
      <c r="AD63" s="557"/>
      <c r="AE63" s="557"/>
      <c r="AF63" s="557"/>
      <c r="AG63" s="557"/>
      <c r="AH63" s="557"/>
      <c r="AI63" s="557"/>
      <c r="AJ63" s="557"/>
      <c r="AK63" s="557"/>
      <c r="AL63" s="557"/>
      <c r="AM63" s="557"/>
      <c r="AN63" s="557"/>
      <c r="AO63" s="557"/>
    </row>
    <row r="64" spans="1:41" ht="15.75">
      <c r="A64" s="519"/>
      <c r="B64" s="518"/>
      <c r="E64" s="588"/>
      <c r="F64" s="588"/>
      <c r="G64" s="588"/>
      <c r="H64" s="588"/>
      <c r="I64" s="588"/>
      <c r="J64" s="588"/>
      <c r="K64" s="588"/>
      <c r="L64" s="518"/>
      <c r="M64" s="588"/>
      <c r="N64" s="588"/>
      <c r="O64" s="588"/>
      <c r="P64" s="588"/>
      <c r="Q64" s="588"/>
      <c r="R64" s="518"/>
      <c r="S64" s="518"/>
      <c r="T64" s="518"/>
      <c r="U64" s="518"/>
      <c r="V64" s="518"/>
      <c r="W64" s="557"/>
      <c r="X64" s="557"/>
      <c r="Y64" s="557"/>
      <c r="Z64" s="557"/>
      <c r="AA64" s="557"/>
      <c r="AB64" s="557"/>
      <c r="AC64" s="557"/>
      <c r="AD64" s="557"/>
      <c r="AE64" s="557"/>
      <c r="AF64" s="557"/>
      <c r="AG64" s="557"/>
      <c r="AH64" s="557"/>
      <c r="AI64" s="557"/>
      <c r="AJ64" s="557"/>
      <c r="AK64" s="557"/>
      <c r="AL64" s="557"/>
      <c r="AM64" s="557"/>
      <c r="AN64" s="557"/>
      <c r="AO64" s="557"/>
    </row>
    <row r="65" spans="1:41" ht="15.75">
      <c r="A65" s="519"/>
      <c r="B65" s="518"/>
      <c r="E65" s="588"/>
      <c r="F65" s="588"/>
      <c r="G65" s="588"/>
      <c r="H65" s="588"/>
      <c r="I65" s="588"/>
      <c r="J65" s="588"/>
      <c r="K65" s="588"/>
      <c r="L65" s="518"/>
      <c r="M65" s="588"/>
      <c r="N65" s="588"/>
      <c r="O65" s="588"/>
      <c r="P65" s="588"/>
      <c r="Q65" s="588"/>
      <c r="R65" s="518"/>
      <c r="S65" s="518"/>
      <c r="T65" s="518"/>
      <c r="U65" s="518"/>
      <c r="V65" s="518"/>
      <c r="W65" s="557"/>
      <c r="X65" s="557"/>
      <c r="Y65" s="557"/>
      <c r="Z65" s="557"/>
      <c r="AA65" s="557"/>
      <c r="AB65" s="557"/>
      <c r="AC65" s="557"/>
      <c r="AD65" s="557"/>
      <c r="AE65" s="557"/>
      <c r="AF65" s="557"/>
      <c r="AG65" s="557"/>
      <c r="AH65" s="557"/>
      <c r="AI65" s="557"/>
      <c r="AJ65" s="557"/>
      <c r="AK65" s="557"/>
      <c r="AL65" s="557"/>
      <c r="AM65" s="557"/>
      <c r="AN65" s="557"/>
      <c r="AO65" s="557"/>
    </row>
    <row r="66" spans="1:41" ht="15.75">
      <c r="A66" s="519"/>
      <c r="B66" s="518"/>
      <c r="E66" s="588"/>
      <c r="F66" s="588"/>
      <c r="G66" s="588"/>
      <c r="H66" s="588"/>
      <c r="I66" s="588"/>
      <c r="J66" s="588"/>
      <c r="K66" s="588"/>
      <c r="L66" s="518"/>
      <c r="M66" s="588"/>
      <c r="N66" s="588"/>
      <c r="O66" s="588"/>
      <c r="P66" s="588"/>
      <c r="Q66" s="588"/>
      <c r="R66" s="518"/>
      <c r="S66" s="518"/>
      <c r="T66" s="518"/>
      <c r="U66" s="518"/>
      <c r="V66" s="518"/>
      <c r="W66" s="557"/>
      <c r="X66" s="557"/>
      <c r="Y66" s="557"/>
      <c r="Z66" s="557"/>
      <c r="AA66" s="557"/>
      <c r="AB66" s="557"/>
      <c r="AC66" s="557"/>
      <c r="AD66" s="557"/>
      <c r="AE66" s="557"/>
      <c r="AF66" s="557"/>
      <c r="AG66" s="557"/>
      <c r="AH66" s="557"/>
      <c r="AI66" s="557"/>
      <c r="AJ66" s="557"/>
      <c r="AK66" s="557"/>
      <c r="AL66" s="557"/>
      <c r="AM66" s="557"/>
      <c r="AN66" s="557"/>
      <c r="AO66" s="557"/>
    </row>
    <row r="67" spans="1:41" ht="15.75">
      <c r="A67" s="519"/>
      <c r="B67" s="518"/>
      <c r="E67" s="588"/>
      <c r="F67" s="588"/>
      <c r="G67" s="588"/>
      <c r="H67" s="588"/>
      <c r="I67" s="588"/>
      <c r="J67" s="588"/>
      <c r="K67" s="588"/>
      <c r="L67" s="518"/>
      <c r="M67" s="588"/>
      <c r="N67" s="588"/>
      <c r="O67" s="588"/>
      <c r="P67" s="588"/>
      <c r="Q67" s="588"/>
      <c r="R67" s="518"/>
      <c r="S67" s="518"/>
      <c r="T67" s="518"/>
      <c r="U67" s="518"/>
      <c r="V67" s="518"/>
      <c r="W67" s="557"/>
      <c r="X67" s="557"/>
      <c r="Y67" s="557"/>
      <c r="Z67" s="557"/>
      <c r="AA67" s="557"/>
      <c r="AB67" s="557"/>
      <c r="AC67" s="557"/>
      <c r="AD67" s="557"/>
      <c r="AE67" s="557"/>
      <c r="AF67" s="557"/>
      <c r="AG67" s="557"/>
      <c r="AH67" s="557"/>
      <c r="AI67" s="557"/>
      <c r="AJ67" s="557"/>
      <c r="AK67" s="557"/>
      <c r="AL67" s="557"/>
      <c r="AM67" s="557"/>
      <c r="AN67" s="557"/>
      <c r="AO67" s="557"/>
    </row>
    <row r="68" spans="1:41" ht="15.75">
      <c r="A68" s="519"/>
      <c r="B68" s="518"/>
      <c r="E68" s="588"/>
      <c r="F68" s="588"/>
      <c r="G68" s="588"/>
      <c r="H68" s="588"/>
      <c r="I68" s="588"/>
      <c r="J68" s="588"/>
      <c r="K68" s="588"/>
      <c r="L68" s="518"/>
      <c r="M68" s="588"/>
      <c r="N68" s="588"/>
      <c r="O68" s="588"/>
      <c r="P68" s="588"/>
      <c r="Q68" s="588"/>
      <c r="R68" s="518"/>
      <c r="S68" s="518"/>
      <c r="T68" s="518"/>
      <c r="U68" s="518"/>
      <c r="V68" s="518"/>
      <c r="W68" s="557"/>
      <c r="X68" s="557"/>
      <c r="Y68" s="557"/>
      <c r="Z68" s="557"/>
      <c r="AA68" s="557"/>
      <c r="AB68" s="557"/>
      <c r="AC68" s="557"/>
      <c r="AD68" s="557"/>
      <c r="AE68" s="557"/>
      <c r="AF68" s="557"/>
      <c r="AG68" s="557"/>
      <c r="AH68" s="557"/>
      <c r="AI68" s="557"/>
      <c r="AJ68" s="557"/>
      <c r="AK68" s="557"/>
      <c r="AL68" s="557"/>
      <c r="AM68" s="557"/>
      <c r="AN68" s="557"/>
      <c r="AO68" s="557"/>
    </row>
    <row r="69" spans="1:41" ht="15.75">
      <c r="A69" s="519"/>
      <c r="B69" s="518"/>
      <c r="E69" s="588"/>
      <c r="F69" s="588"/>
      <c r="G69" s="588"/>
      <c r="H69" s="588"/>
      <c r="I69" s="588"/>
      <c r="J69" s="588"/>
      <c r="K69" s="588"/>
      <c r="L69" s="518"/>
      <c r="M69" s="588"/>
      <c r="N69" s="588"/>
      <c r="O69" s="588"/>
      <c r="P69" s="588"/>
      <c r="Q69" s="588"/>
      <c r="R69" s="518"/>
      <c r="S69" s="518"/>
      <c r="T69" s="518"/>
      <c r="U69" s="518"/>
      <c r="V69" s="518"/>
      <c r="W69" s="557"/>
      <c r="X69" s="557"/>
      <c r="Y69" s="557"/>
      <c r="Z69" s="557"/>
      <c r="AA69" s="557"/>
      <c r="AB69" s="557"/>
      <c r="AC69" s="557"/>
      <c r="AD69" s="557"/>
      <c r="AE69" s="557"/>
      <c r="AF69" s="557"/>
      <c r="AG69" s="557"/>
      <c r="AH69" s="557"/>
      <c r="AI69" s="557"/>
      <c r="AJ69" s="557"/>
      <c r="AK69" s="557"/>
      <c r="AL69" s="557"/>
      <c r="AM69" s="557"/>
      <c r="AN69" s="557"/>
      <c r="AO69" s="557"/>
    </row>
    <row r="70" spans="1:41" ht="15.75">
      <c r="A70" s="519"/>
      <c r="B70" s="518"/>
      <c r="E70" s="588"/>
      <c r="F70" s="588"/>
      <c r="G70" s="588"/>
      <c r="H70" s="588"/>
      <c r="I70" s="588"/>
      <c r="J70" s="588"/>
      <c r="K70" s="588"/>
      <c r="L70" s="518"/>
      <c r="M70" s="588"/>
      <c r="N70" s="588"/>
      <c r="O70" s="588"/>
      <c r="P70" s="588"/>
      <c r="Q70" s="588"/>
      <c r="R70" s="518"/>
      <c r="S70" s="518"/>
      <c r="T70" s="518"/>
      <c r="U70" s="518"/>
      <c r="V70" s="518"/>
      <c r="W70" s="557"/>
      <c r="X70" s="557"/>
      <c r="Y70" s="557"/>
      <c r="Z70" s="557"/>
      <c r="AA70" s="557"/>
      <c r="AB70" s="557"/>
      <c r="AC70" s="557"/>
      <c r="AD70" s="557"/>
      <c r="AE70" s="557"/>
      <c r="AF70" s="557"/>
      <c r="AG70" s="557"/>
      <c r="AH70" s="557"/>
      <c r="AI70" s="557"/>
      <c r="AJ70" s="557"/>
      <c r="AK70" s="557"/>
      <c r="AL70" s="557"/>
      <c r="AM70" s="557"/>
      <c r="AN70" s="557"/>
      <c r="AO70" s="557"/>
    </row>
    <row r="71" spans="1:41" ht="15.75">
      <c r="A71" s="519"/>
      <c r="B71" s="518"/>
      <c r="E71" s="588"/>
      <c r="F71" s="588"/>
      <c r="G71" s="588"/>
      <c r="H71" s="588"/>
      <c r="I71" s="588"/>
      <c r="J71" s="588"/>
      <c r="K71" s="588"/>
      <c r="L71" s="518"/>
      <c r="M71" s="588"/>
      <c r="N71" s="588"/>
      <c r="O71" s="588"/>
      <c r="P71" s="588"/>
      <c r="Q71" s="588"/>
      <c r="R71" s="518"/>
      <c r="S71" s="518"/>
      <c r="T71" s="518"/>
      <c r="U71" s="518"/>
      <c r="V71" s="518"/>
      <c r="W71" s="557"/>
      <c r="X71" s="557"/>
      <c r="Y71" s="557"/>
      <c r="Z71" s="557"/>
      <c r="AA71" s="557"/>
      <c r="AB71" s="557"/>
      <c r="AC71" s="557"/>
      <c r="AD71" s="557"/>
      <c r="AE71" s="557"/>
      <c r="AF71" s="557"/>
      <c r="AG71" s="557"/>
      <c r="AH71" s="557"/>
      <c r="AI71" s="557"/>
      <c r="AJ71" s="557"/>
      <c r="AK71" s="557"/>
      <c r="AL71" s="557"/>
      <c r="AM71" s="557"/>
      <c r="AN71" s="557"/>
      <c r="AO71" s="557"/>
    </row>
    <row r="72" spans="1:41" ht="15.75">
      <c r="A72" s="519"/>
      <c r="B72" s="518"/>
      <c r="E72" s="588"/>
      <c r="F72" s="588"/>
      <c r="G72" s="588"/>
      <c r="H72" s="588"/>
      <c r="I72" s="588"/>
      <c r="J72" s="588"/>
      <c r="K72" s="588"/>
      <c r="L72" s="518"/>
      <c r="M72" s="588"/>
      <c r="N72" s="588"/>
      <c r="O72" s="588"/>
      <c r="P72" s="588"/>
      <c r="Q72" s="588"/>
      <c r="R72" s="518"/>
      <c r="S72" s="518"/>
      <c r="T72" s="518"/>
      <c r="U72" s="518"/>
      <c r="V72" s="518"/>
      <c r="W72" s="557"/>
      <c r="X72" s="557"/>
      <c r="Y72" s="557"/>
      <c r="Z72" s="557"/>
      <c r="AA72" s="557"/>
      <c r="AB72" s="557"/>
      <c r="AC72" s="557"/>
      <c r="AD72" s="557"/>
      <c r="AE72" s="557"/>
      <c r="AF72" s="557"/>
      <c r="AG72" s="557"/>
      <c r="AH72" s="557"/>
      <c r="AI72" s="557"/>
      <c r="AJ72" s="557"/>
      <c r="AK72" s="557"/>
      <c r="AL72" s="557"/>
      <c r="AM72" s="557"/>
      <c r="AN72" s="557"/>
      <c r="AO72" s="557"/>
    </row>
    <row r="73" spans="1:41" ht="15.75">
      <c r="A73" s="519"/>
      <c r="B73" s="518"/>
      <c r="E73" s="588"/>
      <c r="F73" s="588"/>
      <c r="G73" s="588"/>
      <c r="H73" s="588"/>
      <c r="I73" s="588"/>
      <c r="J73" s="588"/>
      <c r="K73" s="588"/>
      <c r="L73" s="518"/>
      <c r="M73" s="588"/>
      <c r="N73" s="588"/>
      <c r="O73" s="588"/>
      <c r="P73" s="588"/>
      <c r="Q73" s="588"/>
      <c r="R73" s="518"/>
      <c r="S73" s="518"/>
      <c r="T73" s="518"/>
      <c r="U73" s="518"/>
      <c r="V73" s="518"/>
      <c r="W73" s="557"/>
      <c r="X73" s="557"/>
      <c r="Y73" s="557"/>
      <c r="Z73" s="557"/>
      <c r="AA73" s="557"/>
      <c r="AB73" s="557"/>
      <c r="AC73" s="557"/>
      <c r="AD73" s="557"/>
      <c r="AE73" s="557"/>
      <c r="AF73" s="557"/>
      <c r="AG73" s="557"/>
      <c r="AH73" s="557"/>
      <c r="AI73" s="557"/>
      <c r="AJ73" s="557"/>
      <c r="AK73" s="557"/>
      <c r="AL73" s="557"/>
      <c r="AM73" s="557"/>
      <c r="AN73" s="557"/>
      <c r="AO73" s="557"/>
    </row>
    <row r="74" spans="1:41" ht="15.75">
      <c r="A74" s="519"/>
      <c r="B74" s="518"/>
      <c r="E74" s="588"/>
      <c r="F74" s="588"/>
      <c r="G74" s="588"/>
      <c r="H74" s="588"/>
      <c r="I74" s="588"/>
      <c r="J74" s="588"/>
      <c r="K74" s="588"/>
      <c r="L74" s="518"/>
      <c r="M74" s="588"/>
      <c r="N74" s="588"/>
      <c r="O74" s="588"/>
      <c r="P74" s="588"/>
      <c r="Q74" s="588"/>
      <c r="R74" s="518"/>
      <c r="S74" s="518"/>
      <c r="T74" s="518"/>
      <c r="U74" s="518"/>
      <c r="V74" s="518"/>
      <c r="W74" s="557"/>
      <c r="X74" s="557"/>
      <c r="Y74" s="557"/>
      <c r="Z74" s="557"/>
      <c r="AA74" s="557"/>
      <c r="AB74" s="557"/>
      <c r="AC74" s="557"/>
      <c r="AD74" s="557"/>
      <c r="AE74" s="557"/>
      <c r="AF74" s="557"/>
      <c r="AG74" s="557"/>
      <c r="AH74" s="557"/>
      <c r="AI74" s="557"/>
      <c r="AJ74" s="557"/>
      <c r="AK74" s="557"/>
      <c r="AL74" s="557"/>
      <c r="AM74" s="557"/>
      <c r="AN74" s="557"/>
      <c r="AO74" s="557"/>
    </row>
    <row r="75" spans="1:41" ht="15.75">
      <c r="A75" s="519"/>
      <c r="B75" s="518"/>
      <c r="E75" s="588"/>
      <c r="F75" s="588"/>
      <c r="G75" s="588"/>
      <c r="H75" s="588"/>
      <c r="I75" s="588"/>
      <c r="J75" s="588"/>
      <c r="K75" s="588"/>
      <c r="L75" s="518"/>
      <c r="M75" s="588"/>
      <c r="N75" s="588"/>
      <c r="O75" s="588"/>
      <c r="P75" s="588"/>
      <c r="Q75" s="588"/>
      <c r="R75" s="518"/>
      <c r="S75" s="518"/>
      <c r="T75" s="518"/>
      <c r="U75" s="518"/>
      <c r="V75" s="518"/>
      <c r="W75" s="557"/>
      <c r="X75" s="557"/>
      <c r="Y75" s="557"/>
      <c r="Z75" s="557"/>
      <c r="AA75" s="557"/>
      <c r="AB75" s="557"/>
      <c r="AC75" s="557"/>
      <c r="AD75" s="557"/>
      <c r="AE75" s="557"/>
      <c r="AF75" s="557"/>
      <c r="AG75" s="557"/>
      <c r="AH75" s="557"/>
      <c r="AI75" s="557"/>
      <c r="AJ75" s="557"/>
      <c r="AK75" s="557"/>
      <c r="AL75" s="557"/>
      <c r="AM75" s="557"/>
      <c r="AN75" s="557"/>
      <c r="AO75" s="557"/>
    </row>
    <row r="76" spans="1:41" ht="15.75">
      <c r="A76" s="519"/>
      <c r="B76" s="518"/>
      <c r="E76" s="588"/>
      <c r="F76" s="588"/>
      <c r="G76" s="588"/>
      <c r="H76" s="588"/>
      <c r="I76" s="588"/>
      <c r="J76" s="588"/>
      <c r="K76" s="588"/>
      <c r="L76" s="518"/>
      <c r="M76" s="588"/>
      <c r="N76" s="588"/>
      <c r="O76" s="588"/>
      <c r="P76" s="588"/>
      <c r="Q76" s="588"/>
      <c r="R76" s="518"/>
      <c r="S76" s="518"/>
      <c r="T76" s="518"/>
      <c r="U76" s="518"/>
      <c r="V76" s="518"/>
      <c r="W76" s="557"/>
      <c r="X76" s="557"/>
      <c r="Y76" s="557"/>
      <c r="Z76" s="557"/>
      <c r="AA76" s="557"/>
      <c r="AB76" s="557"/>
      <c r="AC76" s="557"/>
      <c r="AD76" s="557"/>
      <c r="AE76" s="557"/>
      <c r="AF76" s="557"/>
      <c r="AG76" s="557"/>
      <c r="AH76" s="557"/>
      <c r="AI76" s="557"/>
      <c r="AJ76" s="557"/>
      <c r="AK76" s="557"/>
      <c r="AL76" s="557"/>
      <c r="AM76" s="557"/>
      <c r="AN76" s="557"/>
      <c r="AO76" s="557"/>
    </row>
    <row r="77" spans="1:41" ht="15.75">
      <c r="A77" s="519"/>
      <c r="B77" s="518"/>
      <c r="E77" s="588"/>
      <c r="F77" s="588"/>
      <c r="G77" s="588"/>
      <c r="H77" s="588"/>
      <c r="I77" s="588"/>
      <c r="J77" s="588"/>
      <c r="K77" s="588"/>
      <c r="L77" s="518"/>
      <c r="M77" s="588"/>
      <c r="N77" s="588"/>
      <c r="O77" s="588"/>
      <c r="P77" s="588"/>
      <c r="Q77" s="588"/>
      <c r="R77" s="518"/>
      <c r="S77" s="518"/>
      <c r="T77" s="518"/>
      <c r="U77" s="518"/>
      <c r="V77" s="518"/>
      <c r="W77" s="557"/>
      <c r="X77" s="557"/>
      <c r="Y77" s="557"/>
      <c r="Z77" s="557"/>
      <c r="AA77" s="557"/>
      <c r="AB77" s="557"/>
      <c r="AC77" s="557"/>
      <c r="AD77" s="557"/>
      <c r="AE77" s="557"/>
      <c r="AF77" s="557"/>
      <c r="AG77" s="557"/>
      <c r="AH77" s="557"/>
      <c r="AI77" s="557"/>
      <c r="AJ77" s="557"/>
      <c r="AK77" s="557"/>
      <c r="AL77" s="557"/>
      <c r="AM77" s="557"/>
      <c r="AN77" s="557"/>
      <c r="AO77" s="557"/>
    </row>
    <row r="78" spans="1:41" ht="15.75">
      <c r="A78" s="519"/>
      <c r="B78" s="518"/>
      <c r="E78" s="588"/>
      <c r="F78" s="588"/>
      <c r="G78" s="588"/>
      <c r="H78" s="588"/>
      <c r="I78" s="588"/>
      <c r="J78" s="588"/>
      <c r="K78" s="588"/>
      <c r="L78" s="518"/>
      <c r="M78" s="588"/>
      <c r="N78" s="588"/>
      <c r="O78" s="588"/>
      <c r="P78" s="588"/>
      <c r="Q78" s="588"/>
      <c r="R78" s="518"/>
      <c r="S78" s="518"/>
      <c r="T78" s="518"/>
      <c r="U78" s="518"/>
      <c r="V78" s="518"/>
      <c r="W78" s="557"/>
      <c r="X78" s="557"/>
      <c r="Y78" s="557"/>
      <c r="Z78" s="557"/>
      <c r="AA78" s="557"/>
      <c r="AB78" s="557"/>
      <c r="AC78" s="557"/>
      <c r="AD78" s="557"/>
      <c r="AE78" s="557"/>
      <c r="AF78" s="557"/>
      <c r="AG78" s="557"/>
      <c r="AH78" s="557"/>
      <c r="AI78" s="557"/>
      <c r="AJ78" s="557"/>
      <c r="AK78" s="557"/>
      <c r="AL78" s="557"/>
      <c r="AM78" s="557"/>
      <c r="AN78" s="557"/>
      <c r="AO78" s="557"/>
    </row>
    <row r="79" spans="1:41" ht="15.75">
      <c r="A79" s="519"/>
      <c r="B79" s="518"/>
      <c r="E79" s="588"/>
      <c r="F79" s="588"/>
      <c r="G79" s="588"/>
      <c r="H79" s="588"/>
      <c r="I79" s="588"/>
      <c r="J79" s="588"/>
      <c r="K79" s="588"/>
      <c r="L79" s="518"/>
      <c r="M79" s="588"/>
      <c r="N79" s="588"/>
      <c r="O79" s="588"/>
      <c r="P79" s="588"/>
      <c r="Q79" s="588"/>
      <c r="R79" s="518"/>
      <c r="S79" s="518"/>
      <c r="T79" s="518"/>
      <c r="U79" s="518"/>
      <c r="V79" s="518"/>
      <c r="W79" s="557"/>
      <c r="X79" s="557"/>
      <c r="Y79" s="557"/>
      <c r="Z79" s="557"/>
      <c r="AA79" s="557"/>
      <c r="AB79" s="557"/>
      <c r="AC79" s="557"/>
      <c r="AD79" s="557"/>
      <c r="AE79" s="557"/>
      <c r="AF79" s="557"/>
      <c r="AG79" s="557"/>
      <c r="AH79" s="557"/>
      <c r="AI79" s="557"/>
      <c r="AJ79" s="557"/>
      <c r="AK79" s="557"/>
      <c r="AL79" s="557"/>
      <c r="AM79" s="557"/>
      <c r="AN79" s="557"/>
      <c r="AO79" s="557"/>
    </row>
    <row r="80" spans="1:41" ht="15.75">
      <c r="A80" s="519"/>
      <c r="B80" s="518"/>
      <c r="E80" s="588"/>
      <c r="F80" s="588"/>
      <c r="G80" s="588"/>
      <c r="H80" s="588"/>
      <c r="I80" s="588"/>
      <c r="J80" s="588"/>
      <c r="K80" s="588"/>
      <c r="L80" s="518"/>
      <c r="M80" s="588"/>
      <c r="N80" s="588"/>
      <c r="O80" s="588"/>
      <c r="P80" s="588"/>
      <c r="Q80" s="588"/>
      <c r="R80" s="518"/>
      <c r="S80" s="518"/>
      <c r="T80" s="518"/>
      <c r="U80" s="518"/>
      <c r="V80" s="518"/>
      <c r="W80" s="557"/>
      <c r="X80" s="557"/>
      <c r="Y80" s="557"/>
      <c r="Z80" s="557"/>
      <c r="AA80" s="557"/>
      <c r="AB80" s="557"/>
      <c r="AC80" s="557"/>
      <c r="AD80" s="557"/>
      <c r="AE80" s="557"/>
      <c r="AF80" s="557"/>
      <c r="AG80" s="557"/>
      <c r="AH80" s="557"/>
      <c r="AI80" s="557"/>
      <c r="AJ80" s="557"/>
      <c r="AK80" s="557"/>
      <c r="AL80" s="557"/>
      <c r="AM80" s="557"/>
      <c r="AN80" s="557"/>
      <c r="AO80" s="557"/>
    </row>
    <row r="81" spans="1:41" ht="15.75">
      <c r="A81" s="519"/>
      <c r="B81" s="518"/>
      <c r="E81" s="588"/>
      <c r="F81" s="588"/>
      <c r="G81" s="588"/>
      <c r="H81" s="588"/>
      <c r="I81" s="588"/>
      <c r="J81" s="588"/>
      <c r="K81" s="588"/>
      <c r="L81" s="518"/>
      <c r="M81" s="588"/>
      <c r="N81" s="588"/>
      <c r="O81" s="588"/>
      <c r="P81" s="588"/>
      <c r="Q81" s="588"/>
      <c r="R81" s="518"/>
      <c r="S81" s="518"/>
      <c r="T81" s="518"/>
      <c r="U81" s="518"/>
      <c r="V81" s="518"/>
      <c r="W81" s="557"/>
      <c r="X81" s="557"/>
      <c r="Y81" s="557"/>
      <c r="Z81" s="557"/>
      <c r="AA81" s="557"/>
      <c r="AB81" s="557"/>
      <c r="AC81" s="557"/>
      <c r="AD81" s="557"/>
      <c r="AE81" s="557"/>
      <c r="AF81" s="557"/>
      <c r="AG81" s="557"/>
      <c r="AH81" s="557"/>
      <c r="AI81" s="557"/>
      <c r="AJ81" s="557"/>
      <c r="AK81" s="557"/>
      <c r="AL81" s="557"/>
      <c r="AM81" s="557"/>
      <c r="AN81" s="557"/>
      <c r="AO81" s="557"/>
    </row>
    <row r="82" spans="1:41" ht="15.75">
      <c r="A82" s="519"/>
      <c r="B82" s="518"/>
      <c r="E82" s="588"/>
      <c r="F82" s="588"/>
      <c r="G82" s="588"/>
      <c r="H82" s="588"/>
      <c r="I82" s="588"/>
      <c r="J82" s="588"/>
      <c r="K82" s="588"/>
      <c r="L82" s="518"/>
      <c r="M82" s="588"/>
      <c r="N82" s="588"/>
      <c r="O82" s="588"/>
      <c r="P82" s="588"/>
      <c r="Q82" s="588"/>
      <c r="R82" s="518"/>
      <c r="S82" s="518"/>
      <c r="T82" s="518"/>
      <c r="U82" s="518"/>
      <c r="V82" s="518"/>
      <c r="W82" s="557"/>
      <c r="X82" s="557"/>
      <c r="Y82" s="557"/>
      <c r="Z82" s="557"/>
      <c r="AA82" s="557"/>
      <c r="AB82" s="557"/>
      <c r="AC82" s="557"/>
      <c r="AD82" s="557"/>
      <c r="AE82" s="557"/>
      <c r="AF82" s="557"/>
      <c r="AG82" s="557"/>
      <c r="AH82" s="557"/>
      <c r="AI82" s="557"/>
      <c r="AJ82" s="557"/>
      <c r="AK82" s="557"/>
      <c r="AL82" s="557"/>
      <c r="AM82" s="557"/>
      <c r="AN82" s="557"/>
      <c r="AO82" s="557"/>
    </row>
    <row r="83" spans="1:41" ht="15.75">
      <c r="A83" s="519"/>
      <c r="B83" s="518"/>
      <c r="E83" s="588"/>
      <c r="F83" s="588"/>
      <c r="G83" s="588"/>
      <c r="H83" s="588"/>
      <c r="I83" s="588"/>
      <c r="J83" s="588"/>
      <c r="K83" s="588"/>
      <c r="L83" s="518"/>
      <c r="M83" s="588"/>
      <c r="N83" s="588"/>
      <c r="O83" s="588"/>
      <c r="P83" s="588"/>
      <c r="Q83" s="588"/>
      <c r="R83" s="518"/>
      <c r="S83" s="518"/>
      <c r="T83" s="518"/>
      <c r="U83" s="518"/>
      <c r="V83" s="518"/>
      <c r="W83" s="557"/>
      <c r="X83" s="557"/>
      <c r="Y83" s="557"/>
      <c r="Z83" s="557"/>
      <c r="AA83" s="557"/>
      <c r="AB83" s="557"/>
      <c r="AC83" s="557"/>
      <c r="AD83" s="557"/>
      <c r="AE83" s="557"/>
      <c r="AF83" s="557"/>
      <c r="AG83" s="557"/>
      <c r="AH83" s="557"/>
      <c r="AI83" s="557"/>
      <c r="AJ83" s="557"/>
      <c r="AK83" s="557"/>
      <c r="AL83" s="557"/>
      <c r="AM83" s="557"/>
      <c r="AN83" s="557"/>
      <c r="AO83" s="557"/>
    </row>
    <row r="84" spans="1:41" ht="15.75">
      <c r="A84" s="519"/>
      <c r="B84" s="518"/>
      <c r="E84" s="588"/>
      <c r="F84" s="588"/>
      <c r="G84" s="588"/>
      <c r="H84" s="588"/>
      <c r="I84" s="588"/>
      <c r="J84" s="588"/>
      <c r="K84" s="588"/>
      <c r="L84" s="518"/>
      <c r="M84" s="588"/>
      <c r="N84" s="588"/>
      <c r="O84" s="588"/>
      <c r="P84" s="588"/>
      <c r="Q84" s="588"/>
      <c r="R84" s="518"/>
      <c r="S84" s="518"/>
      <c r="T84" s="518"/>
      <c r="U84" s="518"/>
      <c r="V84" s="518"/>
      <c r="W84" s="557"/>
      <c r="X84" s="557"/>
      <c r="Y84" s="557"/>
      <c r="Z84" s="557"/>
      <c r="AA84" s="557"/>
      <c r="AB84" s="557"/>
      <c r="AC84" s="557"/>
      <c r="AD84" s="557"/>
      <c r="AE84" s="557"/>
      <c r="AF84" s="557"/>
      <c r="AG84" s="557"/>
      <c r="AH84" s="557"/>
      <c r="AI84" s="557"/>
      <c r="AJ84" s="557"/>
      <c r="AK84" s="557"/>
      <c r="AL84" s="557"/>
      <c r="AM84" s="557"/>
      <c r="AN84" s="557"/>
      <c r="AO84" s="557"/>
    </row>
    <row r="85" spans="1:41" ht="15.75">
      <c r="A85" s="519"/>
      <c r="B85" s="518"/>
      <c r="E85" s="588"/>
      <c r="F85" s="588"/>
      <c r="G85" s="588"/>
      <c r="H85" s="588"/>
      <c r="I85" s="588"/>
      <c r="J85" s="588"/>
      <c r="K85" s="588"/>
      <c r="L85" s="518"/>
      <c r="M85" s="588"/>
      <c r="N85" s="588"/>
      <c r="O85" s="588"/>
      <c r="P85" s="588"/>
      <c r="Q85" s="588"/>
      <c r="R85" s="518"/>
      <c r="S85" s="518"/>
      <c r="T85" s="518"/>
      <c r="U85" s="518"/>
      <c r="V85" s="518"/>
      <c r="W85" s="557"/>
      <c r="X85" s="557"/>
      <c r="Y85" s="557"/>
      <c r="Z85" s="557"/>
      <c r="AA85" s="557"/>
      <c r="AB85" s="557"/>
      <c r="AC85" s="557"/>
      <c r="AD85" s="557"/>
      <c r="AE85" s="557"/>
      <c r="AF85" s="557"/>
      <c r="AG85" s="557"/>
      <c r="AH85" s="557"/>
      <c r="AI85" s="557"/>
      <c r="AJ85" s="557"/>
      <c r="AK85" s="557"/>
      <c r="AL85" s="557"/>
      <c r="AM85" s="557"/>
      <c r="AN85" s="557"/>
      <c r="AO85" s="557"/>
    </row>
    <row r="86" spans="1:41" ht="15.75">
      <c r="A86" s="519"/>
      <c r="B86" s="518"/>
      <c r="E86" s="588"/>
      <c r="F86" s="588"/>
      <c r="G86" s="588"/>
      <c r="H86" s="588"/>
      <c r="I86" s="588"/>
      <c r="J86" s="588"/>
      <c r="K86" s="588"/>
      <c r="L86" s="518"/>
      <c r="M86" s="588"/>
      <c r="N86" s="588"/>
      <c r="O86" s="588"/>
      <c r="P86" s="588"/>
      <c r="Q86" s="588"/>
      <c r="R86" s="518"/>
      <c r="S86" s="518"/>
      <c r="T86" s="518"/>
      <c r="U86" s="518"/>
      <c r="V86" s="518"/>
      <c r="W86" s="557"/>
      <c r="X86" s="557"/>
      <c r="Y86" s="557"/>
      <c r="Z86" s="557"/>
      <c r="AA86" s="557"/>
      <c r="AB86" s="557"/>
      <c r="AC86" s="557"/>
      <c r="AD86" s="557"/>
      <c r="AE86" s="557"/>
      <c r="AF86" s="557"/>
      <c r="AG86" s="557"/>
      <c r="AH86" s="557"/>
      <c r="AI86" s="557"/>
      <c r="AJ86" s="557"/>
      <c r="AK86" s="557"/>
      <c r="AL86" s="557"/>
      <c r="AM86" s="557"/>
      <c r="AN86" s="557"/>
      <c r="AO86" s="557"/>
    </row>
    <row r="87" spans="1:41" ht="15.75">
      <c r="A87" s="519"/>
      <c r="B87" s="518"/>
      <c r="E87" s="588"/>
      <c r="F87" s="588"/>
      <c r="G87" s="588"/>
      <c r="H87" s="588"/>
      <c r="I87" s="588"/>
      <c r="J87" s="588"/>
      <c r="K87" s="588"/>
      <c r="L87" s="518"/>
      <c r="M87" s="588"/>
      <c r="N87" s="588"/>
      <c r="O87" s="588"/>
      <c r="P87" s="588"/>
      <c r="Q87" s="588"/>
      <c r="R87" s="518"/>
      <c r="S87" s="518"/>
      <c r="T87" s="518"/>
      <c r="U87" s="518"/>
      <c r="V87" s="518"/>
      <c r="W87" s="557"/>
      <c r="X87" s="557"/>
      <c r="Y87" s="557"/>
      <c r="Z87" s="557"/>
      <c r="AA87" s="557"/>
      <c r="AB87" s="557"/>
      <c r="AC87" s="557"/>
      <c r="AD87" s="557"/>
      <c r="AE87" s="557"/>
      <c r="AF87" s="557"/>
      <c r="AG87" s="557"/>
      <c r="AH87" s="557"/>
      <c r="AI87" s="557"/>
      <c r="AJ87" s="557"/>
      <c r="AK87" s="557"/>
      <c r="AL87" s="557"/>
      <c r="AM87" s="557"/>
      <c r="AN87" s="557"/>
      <c r="AO87" s="557"/>
    </row>
    <row r="88" spans="1:41" ht="15.75">
      <c r="A88" s="519"/>
      <c r="B88" s="518"/>
      <c r="E88" s="588"/>
      <c r="F88" s="588"/>
      <c r="G88" s="588"/>
      <c r="H88" s="588"/>
      <c r="I88" s="588"/>
      <c r="J88" s="588"/>
      <c r="K88" s="588"/>
      <c r="L88" s="518"/>
      <c r="M88" s="588"/>
      <c r="N88" s="588"/>
      <c r="O88" s="588"/>
      <c r="P88" s="588"/>
      <c r="Q88" s="588"/>
      <c r="R88" s="518"/>
      <c r="S88" s="518"/>
      <c r="T88" s="518"/>
      <c r="U88" s="518"/>
      <c r="V88" s="518"/>
      <c r="W88" s="557"/>
      <c r="X88" s="557"/>
      <c r="Y88" s="557"/>
      <c r="Z88" s="557"/>
      <c r="AA88" s="557"/>
      <c r="AB88" s="557"/>
      <c r="AC88" s="557"/>
      <c r="AD88" s="557"/>
      <c r="AE88" s="557"/>
      <c r="AF88" s="557"/>
      <c r="AG88" s="557"/>
      <c r="AH88" s="557"/>
      <c r="AI88" s="557"/>
      <c r="AJ88" s="557"/>
      <c r="AK88" s="557"/>
      <c r="AL88" s="557"/>
      <c r="AM88" s="557"/>
      <c r="AN88" s="557"/>
      <c r="AO88" s="557"/>
    </row>
    <row r="89" spans="1:41" ht="15.75">
      <c r="A89" s="519"/>
      <c r="B89" s="518"/>
      <c r="E89" s="588"/>
      <c r="F89" s="588"/>
      <c r="G89" s="588"/>
      <c r="H89" s="588"/>
      <c r="I89" s="588"/>
      <c r="J89" s="588"/>
      <c r="K89" s="588"/>
      <c r="L89" s="518"/>
      <c r="M89" s="588"/>
      <c r="N89" s="588"/>
      <c r="O89" s="588"/>
      <c r="P89" s="588"/>
      <c r="Q89" s="588"/>
      <c r="R89" s="518"/>
      <c r="S89" s="518"/>
      <c r="T89" s="518"/>
      <c r="U89" s="518"/>
      <c r="V89" s="518"/>
      <c r="W89" s="557"/>
      <c r="X89" s="557"/>
      <c r="Y89" s="557"/>
      <c r="Z89" s="557"/>
      <c r="AA89" s="557"/>
      <c r="AB89" s="557"/>
      <c r="AC89" s="557"/>
      <c r="AD89" s="557"/>
      <c r="AE89" s="557"/>
      <c r="AF89" s="557"/>
      <c r="AG89" s="557"/>
      <c r="AH89" s="557"/>
      <c r="AI89" s="557"/>
      <c r="AJ89" s="557"/>
      <c r="AK89" s="557"/>
      <c r="AL89" s="557"/>
      <c r="AM89" s="557"/>
      <c r="AN89" s="557"/>
      <c r="AO89" s="557"/>
    </row>
    <row r="90" spans="1:41" ht="15.75">
      <c r="A90" s="519"/>
      <c r="B90" s="518"/>
      <c r="E90" s="588"/>
      <c r="F90" s="588"/>
      <c r="G90" s="588"/>
      <c r="H90" s="588"/>
      <c r="I90" s="588"/>
      <c r="J90" s="588"/>
      <c r="K90" s="588"/>
      <c r="L90" s="518"/>
      <c r="M90" s="588"/>
      <c r="N90" s="588"/>
      <c r="O90" s="588"/>
      <c r="P90" s="588"/>
      <c r="Q90" s="588"/>
      <c r="R90" s="518"/>
      <c r="S90" s="518"/>
      <c r="T90" s="518"/>
      <c r="U90" s="518"/>
      <c r="V90" s="518"/>
      <c r="W90" s="557"/>
      <c r="X90" s="557"/>
      <c r="Y90" s="557"/>
      <c r="Z90" s="557"/>
      <c r="AA90" s="557"/>
      <c r="AB90" s="557"/>
      <c r="AC90" s="557"/>
      <c r="AD90" s="557"/>
      <c r="AE90" s="557"/>
      <c r="AF90" s="557"/>
      <c r="AG90" s="557"/>
      <c r="AH90" s="557"/>
      <c r="AI90" s="557"/>
      <c r="AJ90" s="557"/>
      <c r="AK90" s="557"/>
      <c r="AL90" s="557"/>
      <c r="AM90" s="557"/>
      <c r="AN90" s="557"/>
      <c r="AO90" s="557"/>
    </row>
    <row r="91" spans="1:41" ht="15.75">
      <c r="A91" s="519"/>
      <c r="B91" s="518"/>
      <c r="E91" s="588"/>
      <c r="F91" s="588"/>
      <c r="G91" s="588"/>
      <c r="H91" s="588"/>
      <c r="I91" s="588"/>
      <c r="J91" s="588"/>
      <c r="K91" s="588"/>
      <c r="L91" s="518"/>
      <c r="M91" s="588"/>
      <c r="N91" s="588"/>
      <c r="O91" s="588"/>
      <c r="P91" s="588"/>
      <c r="Q91" s="588"/>
      <c r="R91" s="518"/>
      <c r="S91" s="518"/>
      <c r="T91" s="518"/>
      <c r="U91" s="518"/>
      <c r="V91" s="518"/>
      <c r="W91" s="557"/>
      <c r="X91" s="557"/>
      <c r="Y91" s="557"/>
      <c r="Z91" s="557"/>
      <c r="AA91" s="557"/>
      <c r="AB91" s="557"/>
      <c r="AC91" s="557"/>
      <c r="AD91" s="557"/>
      <c r="AE91" s="557"/>
      <c r="AF91" s="557"/>
      <c r="AG91" s="557"/>
      <c r="AH91" s="557"/>
      <c r="AI91" s="557"/>
      <c r="AJ91" s="557"/>
      <c r="AK91" s="557"/>
      <c r="AL91" s="557"/>
      <c r="AM91" s="557"/>
      <c r="AN91" s="557"/>
      <c r="AO91" s="557"/>
    </row>
    <row r="92" spans="1:41" ht="15.75">
      <c r="A92" s="519"/>
      <c r="B92" s="518"/>
      <c r="E92" s="588"/>
      <c r="F92" s="588"/>
      <c r="G92" s="588"/>
      <c r="H92" s="588"/>
      <c r="I92" s="588"/>
      <c r="J92" s="588"/>
      <c r="K92" s="588"/>
      <c r="L92" s="518"/>
      <c r="M92" s="588"/>
      <c r="N92" s="588"/>
      <c r="O92" s="588"/>
      <c r="P92" s="588"/>
      <c r="Q92" s="588"/>
      <c r="R92" s="518"/>
      <c r="S92" s="518"/>
      <c r="T92" s="518"/>
      <c r="U92" s="518"/>
      <c r="V92" s="518"/>
      <c r="W92" s="557"/>
      <c r="X92" s="557"/>
      <c r="Y92" s="557"/>
      <c r="Z92" s="557"/>
      <c r="AA92" s="557"/>
      <c r="AB92" s="557"/>
      <c r="AC92" s="557"/>
      <c r="AD92" s="557"/>
      <c r="AE92" s="557"/>
      <c r="AF92" s="557"/>
      <c r="AG92" s="557"/>
      <c r="AH92" s="557"/>
      <c r="AI92" s="557"/>
      <c r="AJ92" s="557"/>
      <c r="AK92" s="557"/>
      <c r="AL92" s="557"/>
      <c r="AM92" s="557"/>
      <c r="AN92" s="557"/>
      <c r="AO92" s="557"/>
    </row>
    <row r="93" spans="1:41" ht="15.75">
      <c r="A93" s="519"/>
      <c r="B93" s="518"/>
      <c r="E93" s="588"/>
      <c r="F93" s="588"/>
      <c r="G93" s="588"/>
      <c r="H93" s="588"/>
      <c r="I93" s="588"/>
      <c r="J93" s="588"/>
      <c r="K93" s="588"/>
      <c r="L93" s="518"/>
      <c r="M93" s="588"/>
      <c r="N93" s="588"/>
      <c r="O93" s="588"/>
      <c r="P93" s="588"/>
      <c r="Q93" s="588"/>
      <c r="R93" s="518"/>
      <c r="S93" s="518"/>
      <c r="T93" s="518"/>
      <c r="U93" s="518"/>
      <c r="V93" s="518"/>
      <c r="W93" s="557"/>
      <c r="X93" s="557"/>
      <c r="Y93" s="557"/>
      <c r="Z93" s="557"/>
      <c r="AA93" s="557"/>
      <c r="AB93" s="557"/>
      <c r="AC93" s="557"/>
      <c r="AD93" s="557"/>
      <c r="AE93" s="557"/>
      <c r="AF93" s="557"/>
      <c r="AG93" s="557"/>
      <c r="AH93" s="557"/>
      <c r="AI93" s="557"/>
      <c r="AJ93" s="557"/>
      <c r="AK93" s="557"/>
      <c r="AL93" s="557"/>
      <c r="AM93" s="557"/>
      <c r="AN93" s="557"/>
      <c r="AO93" s="557"/>
    </row>
    <row r="94" spans="1:41" ht="15.75">
      <c r="A94" s="519"/>
      <c r="B94" s="518"/>
      <c r="E94" s="588"/>
      <c r="F94" s="588"/>
      <c r="G94" s="588"/>
      <c r="H94" s="588"/>
      <c r="I94" s="588"/>
      <c r="J94" s="588"/>
      <c r="K94" s="588"/>
      <c r="L94" s="518"/>
      <c r="M94" s="588"/>
      <c r="N94" s="588"/>
      <c r="O94" s="588"/>
      <c r="P94" s="588"/>
      <c r="Q94" s="588"/>
      <c r="R94" s="518"/>
      <c r="S94" s="518"/>
      <c r="T94" s="518"/>
      <c r="U94" s="518"/>
      <c r="V94" s="518"/>
      <c r="W94" s="557"/>
      <c r="X94" s="557"/>
      <c r="Y94" s="557"/>
      <c r="Z94" s="557"/>
      <c r="AA94" s="557"/>
      <c r="AB94" s="557"/>
      <c r="AC94" s="557"/>
      <c r="AD94" s="557"/>
      <c r="AE94" s="557"/>
      <c r="AF94" s="557"/>
      <c r="AG94" s="557"/>
      <c r="AH94" s="557"/>
      <c r="AI94" s="557"/>
      <c r="AJ94" s="557"/>
      <c r="AK94" s="557"/>
      <c r="AL94" s="557"/>
      <c r="AM94" s="557"/>
      <c r="AN94" s="557"/>
      <c r="AO94" s="557"/>
    </row>
    <row r="95" spans="1:41" ht="15.75">
      <c r="A95" s="519"/>
      <c r="B95" s="518"/>
      <c r="E95" s="588"/>
      <c r="F95" s="588"/>
      <c r="G95" s="588"/>
      <c r="H95" s="588"/>
      <c r="I95" s="588"/>
      <c r="J95" s="588"/>
      <c r="K95" s="588"/>
      <c r="L95" s="518"/>
      <c r="M95" s="588"/>
      <c r="N95" s="588"/>
      <c r="O95" s="588"/>
      <c r="P95" s="588"/>
      <c r="Q95" s="588"/>
      <c r="R95" s="518"/>
      <c r="S95" s="518"/>
      <c r="T95" s="518"/>
      <c r="U95" s="518"/>
      <c r="V95" s="518"/>
      <c r="W95" s="557"/>
      <c r="X95" s="557"/>
      <c r="Y95" s="557"/>
      <c r="Z95" s="557"/>
      <c r="AA95" s="557"/>
      <c r="AB95" s="557"/>
      <c r="AC95" s="557"/>
      <c r="AD95" s="557"/>
      <c r="AE95" s="557"/>
      <c r="AF95" s="557"/>
      <c r="AG95" s="557"/>
      <c r="AH95" s="557"/>
      <c r="AI95" s="557"/>
      <c r="AJ95" s="557"/>
      <c r="AK95" s="557"/>
      <c r="AL95" s="557"/>
      <c r="AM95" s="557"/>
      <c r="AN95" s="557"/>
      <c r="AO95" s="557"/>
    </row>
    <row r="96" spans="1:41" ht="15.75">
      <c r="A96" s="519"/>
      <c r="B96" s="518"/>
      <c r="E96" s="588"/>
      <c r="F96" s="588"/>
      <c r="G96" s="588"/>
      <c r="H96" s="588"/>
      <c r="I96" s="588"/>
      <c r="J96" s="588"/>
      <c r="K96" s="588"/>
      <c r="L96" s="518"/>
      <c r="M96" s="588"/>
      <c r="N96" s="588"/>
      <c r="O96" s="588"/>
      <c r="P96" s="588"/>
      <c r="Q96" s="588"/>
      <c r="R96" s="518"/>
      <c r="S96" s="518"/>
      <c r="T96" s="518"/>
      <c r="U96" s="518"/>
      <c r="V96" s="518"/>
      <c r="W96" s="557"/>
      <c r="X96" s="557"/>
      <c r="Y96" s="557"/>
      <c r="Z96" s="557"/>
      <c r="AA96" s="557"/>
      <c r="AB96" s="557"/>
      <c r="AC96" s="557"/>
      <c r="AD96" s="557"/>
      <c r="AE96" s="557"/>
      <c r="AF96" s="557"/>
      <c r="AG96" s="557"/>
      <c r="AH96" s="557"/>
      <c r="AI96" s="557"/>
      <c r="AJ96" s="557"/>
      <c r="AK96" s="557"/>
      <c r="AL96" s="557"/>
      <c r="AM96" s="557"/>
      <c r="AN96" s="557"/>
      <c r="AO96" s="557"/>
    </row>
    <row r="97" spans="1:41" ht="15.75">
      <c r="A97" s="519"/>
      <c r="B97" s="518"/>
      <c r="E97" s="588"/>
      <c r="F97" s="588"/>
      <c r="G97" s="588"/>
      <c r="H97" s="588"/>
      <c r="I97" s="588"/>
      <c r="J97" s="588"/>
      <c r="K97" s="588"/>
      <c r="L97" s="518"/>
      <c r="M97" s="588"/>
      <c r="N97" s="588"/>
      <c r="O97" s="588"/>
      <c r="P97" s="588"/>
      <c r="Q97" s="588"/>
      <c r="R97" s="518"/>
      <c r="S97" s="518"/>
      <c r="T97" s="518"/>
      <c r="U97" s="518"/>
      <c r="V97" s="518"/>
      <c r="W97" s="557"/>
      <c r="X97" s="557"/>
      <c r="Y97" s="557"/>
      <c r="Z97" s="557"/>
      <c r="AA97" s="557"/>
      <c r="AB97" s="557"/>
      <c r="AC97" s="557"/>
      <c r="AD97" s="557"/>
      <c r="AE97" s="557"/>
      <c r="AF97" s="557"/>
      <c r="AG97" s="557"/>
      <c r="AH97" s="557"/>
      <c r="AI97" s="557"/>
      <c r="AJ97" s="557"/>
      <c r="AK97" s="557"/>
      <c r="AL97" s="557"/>
      <c r="AM97" s="557"/>
      <c r="AN97" s="557"/>
      <c r="AO97" s="557"/>
    </row>
    <row r="98" spans="1:41" ht="15.75">
      <c r="A98" s="519"/>
      <c r="B98" s="518"/>
      <c r="E98" s="588"/>
      <c r="F98" s="588"/>
      <c r="G98" s="588"/>
      <c r="H98" s="588"/>
      <c r="I98" s="588"/>
      <c r="J98" s="588"/>
      <c r="K98" s="588"/>
      <c r="L98" s="518"/>
      <c r="M98" s="588"/>
      <c r="N98" s="588"/>
      <c r="O98" s="588"/>
      <c r="P98" s="588"/>
      <c r="Q98" s="588"/>
      <c r="R98" s="518"/>
      <c r="S98" s="518"/>
      <c r="T98" s="518"/>
      <c r="U98" s="518"/>
      <c r="V98" s="518"/>
      <c r="W98" s="557"/>
      <c r="X98" s="557"/>
      <c r="Y98" s="557"/>
      <c r="Z98" s="557"/>
      <c r="AA98" s="557"/>
      <c r="AB98" s="557"/>
      <c r="AC98" s="557"/>
      <c r="AD98" s="557"/>
      <c r="AE98" s="557"/>
      <c r="AF98" s="557"/>
      <c r="AG98" s="557"/>
      <c r="AH98" s="557"/>
      <c r="AI98" s="557"/>
      <c r="AJ98" s="557"/>
      <c r="AK98" s="557"/>
      <c r="AL98" s="557"/>
      <c r="AM98" s="557"/>
      <c r="AN98" s="557"/>
      <c r="AO98" s="557"/>
    </row>
    <row r="99" spans="1:41" ht="15.75">
      <c r="A99" s="519"/>
      <c r="B99" s="518"/>
      <c r="E99" s="588"/>
      <c r="F99" s="588"/>
      <c r="G99" s="588"/>
      <c r="H99" s="588"/>
      <c r="I99" s="588"/>
      <c r="J99" s="588"/>
      <c r="K99" s="588"/>
      <c r="L99" s="518"/>
      <c r="M99" s="588"/>
      <c r="N99" s="588"/>
      <c r="O99" s="588"/>
      <c r="P99" s="588"/>
      <c r="Q99" s="588"/>
      <c r="R99" s="518"/>
      <c r="S99" s="518"/>
      <c r="T99" s="518"/>
      <c r="U99" s="518"/>
      <c r="V99" s="518"/>
      <c r="W99" s="557"/>
      <c r="X99" s="557"/>
      <c r="Y99" s="557"/>
      <c r="Z99" s="557"/>
      <c r="AA99" s="557"/>
      <c r="AB99" s="557"/>
      <c r="AC99" s="557"/>
      <c r="AD99" s="557"/>
      <c r="AE99" s="557"/>
      <c r="AF99" s="557"/>
      <c r="AG99" s="557"/>
      <c r="AH99" s="557"/>
      <c r="AI99" s="557"/>
      <c r="AJ99" s="557"/>
      <c r="AK99" s="557"/>
      <c r="AL99" s="557"/>
      <c r="AM99" s="557"/>
      <c r="AN99" s="557"/>
      <c r="AO99" s="557"/>
    </row>
    <row r="100" spans="1:41">
      <c r="A100" s="552"/>
      <c r="B100" s="552"/>
      <c r="C100" s="552"/>
      <c r="D100" s="552"/>
      <c r="E100" s="552"/>
      <c r="F100" s="552"/>
      <c r="G100" s="552"/>
      <c r="H100" s="552"/>
      <c r="I100" s="552"/>
      <c r="J100" s="552"/>
      <c r="K100" s="552"/>
      <c r="L100" s="552"/>
      <c r="M100" s="552"/>
      <c r="N100" s="552"/>
      <c r="O100" s="552"/>
      <c r="P100" s="552"/>
      <c r="Q100" s="552"/>
      <c r="R100" s="552"/>
      <c r="S100" s="552"/>
      <c r="T100" s="552"/>
      <c r="U100" s="552"/>
      <c r="V100" s="552"/>
      <c r="W100" s="557"/>
      <c r="X100" s="557"/>
      <c r="Y100" s="557"/>
      <c r="Z100" s="557"/>
      <c r="AA100" s="557"/>
      <c r="AB100" s="557"/>
      <c r="AC100" s="557"/>
      <c r="AD100" s="557"/>
      <c r="AE100" s="557"/>
      <c r="AF100" s="557"/>
      <c r="AG100" s="557"/>
      <c r="AH100" s="557"/>
      <c r="AI100" s="557"/>
      <c r="AJ100" s="557"/>
      <c r="AK100" s="557"/>
      <c r="AL100" s="557"/>
      <c r="AM100" s="557"/>
      <c r="AN100" s="557"/>
      <c r="AO100" s="557"/>
    </row>
    <row r="101" spans="1:41">
      <c r="A101" s="552"/>
      <c r="B101" s="552"/>
      <c r="C101" s="552"/>
      <c r="D101" s="552"/>
      <c r="E101" s="552"/>
      <c r="F101" s="552"/>
      <c r="G101" s="552"/>
      <c r="H101" s="552"/>
      <c r="I101" s="552"/>
      <c r="J101" s="552"/>
      <c r="K101" s="552"/>
      <c r="L101" s="552"/>
      <c r="M101" s="552"/>
      <c r="N101" s="552"/>
      <c r="O101" s="552"/>
      <c r="P101" s="552"/>
      <c r="Q101" s="552"/>
      <c r="R101" s="552"/>
      <c r="S101" s="552"/>
      <c r="T101" s="552"/>
      <c r="U101" s="552"/>
      <c r="V101" s="552"/>
      <c r="W101" s="557"/>
      <c r="X101" s="557"/>
      <c r="Y101" s="557"/>
      <c r="Z101" s="557"/>
      <c r="AA101" s="557"/>
      <c r="AB101" s="557"/>
      <c r="AC101" s="557"/>
      <c r="AD101" s="557"/>
      <c r="AE101" s="557"/>
      <c r="AF101" s="557"/>
      <c r="AG101" s="557"/>
      <c r="AH101" s="557"/>
      <c r="AI101" s="557"/>
      <c r="AJ101" s="557"/>
      <c r="AK101" s="557"/>
      <c r="AL101" s="557"/>
      <c r="AM101" s="557"/>
      <c r="AN101" s="557"/>
      <c r="AO101" s="557"/>
    </row>
    <row r="102" spans="1:41">
      <c r="A102" s="552"/>
      <c r="B102" s="552"/>
      <c r="C102" s="552"/>
      <c r="D102" s="552"/>
      <c r="E102" s="552"/>
      <c r="F102" s="552"/>
      <c r="G102" s="552"/>
      <c r="H102" s="552"/>
      <c r="I102" s="552"/>
      <c r="J102" s="552"/>
      <c r="K102" s="552"/>
      <c r="L102" s="552"/>
      <c r="M102" s="552"/>
      <c r="N102" s="552"/>
      <c r="O102" s="552"/>
      <c r="P102" s="552"/>
      <c r="Q102" s="552"/>
      <c r="R102" s="552"/>
      <c r="S102" s="552"/>
      <c r="T102" s="552"/>
      <c r="U102" s="552"/>
      <c r="V102" s="552"/>
      <c r="W102" s="557"/>
      <c r="X102" s="557"/>
      <c r="Y102" s="557"/>
      <c r="Z102" s="557"/>
      <c r="AA102" s="557"/>
      <c r="AB102" s="557"/>
      <c r="AC102" s="557"/>
      <c r="AD102" s="557"/>
      <c r="AE102" s="557"/>
      <c r="AF102" s="557"/>
      <c r="AG102" s="557"/>
      <c r="AH102" s="557"/>
      <c r="AI102" s="557"/>
      <c r="AJ102" s="557"/>
      <c r="AK102" s="557"/>
      <c r="AL102" s="557"/>
      <c r="AM102" s="557"/>
      <c r="AN102" s="557"/>
      <c r="AO102" s="557"/>
    </row>
    <row r="103" spans="1:41">
      <c r="A103" s="552"/>
      <c r="B103" s="552"/>
      <c r="C103" s="552"/>
      <c r="D103" s="552"/>
      <c r="E103" s="552"/>
      <c r="F103" s="552"/>
      <c r="G103" s="552"/>
      <c r="H103" s="552"/>
      <c r="I103" s="552"/>
      <c r="J103" s="552"/>
      <c r="K103" s="552"/>
      <c r="L103" s="552"/>
      <c r="M103" s="552"/>
      <c r="N103" s="552"/>
      <c r="O103" s="552"/>
      <c r="P103" s="552"/>
      <c r="Q103" s="552"/>
      <c r="R103" s="552"/>
      <c r="S103" s="552"/>
      <c r="T103" s="552"/>
      <c r="U103" s="552"/>
      <c r="V103" s="552"/>
    </row>
    <row r="104" spans="1:41">
      <c r="A104" s="552"/>
      <c r="B104" s="552"/>
      <c r="C104" s="552"/>
      <c r="D104" s="552"/>
      <c r="E104" s="552"/>
      <c r="F104" s="552"/>
      <c r="G104" s="552"/>
      <c r="H104" s="552"/>
      <c r="I104" s="552"/>
      <c r="J104" s="552"/>
      <c r="K104" s="552"/>
      <c r="L104" s="552"/>
      <c r="M104" s="552"/>
      <c r="N104" s="552"/>
      <c r="O104" s="552"/>
      <c r="P104" s="552"/>
      <c r="Q104" s="552"/>
      <c r="R104" s="552"/>
      <c r="S104" s="552"/>
      <c r="T104" s="552"/>
      <c r="U104" s="552"/>
      <c r="V104" s="552"/>
    </row>
    <row r="105" spans="1:41">
      <c r="A105" s="552"/>
      <c r="B105" s="552"/>
      <c r="C105" s="552"/>
      <c r="D105" s="552"/>
      <c r="E105" s="552"/>
      <c r="F105" s="552"/>
      <c r="G105" s="552"/>
      <c r="H105" s="552"/>
      <c r="I105" s="552"/>
      <c r="J105" s="552"/>
      <c r="K105" s="552"/>
      <c r="L105" s="552"/>
      <c r="M105" s="552"/>
      <c r="N105" s="552"/>
      <c r="O105" s="552"/>
      <c r="P105" s="552"/>
      <c r="Q105" s="552"/>
      <c r="R105" s="552"/>
      <c r="S105" s="552"/>
      <c r="T105" s="552"/>
      <c r="U105" s="552"/>
      <c r="V105" s="552"/>
    </row>
    <row r="106" spans="1:41">
      <c r="A106" s="552"/>
      <c r="B106" s="552"/>
      <c r="C106" s="552"/>
      <c r="D106" s="552"/>
      <c r="E106" s="552"/>
      <c r="F106" s="552"/>
      <c r="G106" s="552"/>
      <c r="H106" s="552"/>
      <c r="I106" s="552"/>
      <c r="J106" s="552"/>
      <c r="K106" s="552"/>
      <c r="L106" s="552"/>
      <c r="M106" s="552"/>
      <c r="N106" s="552"/>
      <c r="O106" s="552"/>
      <c r="P106" s="552"/>
      <c r="Q106" s="552"/>
      <c r="R106" s="552"/>
      <c r="S106" s="552"/>
      <c r="T106" s="552"/>
      <c r="U106" s="552"/>
      <c r="V106" s="552"/>
    </row>
    <row r="107" spans="1:41" ht="12.75" customHeight="1">
      <c r="A107" s="552"/>
      <c r="B107" s="552"/>
      <c r="C107" s="552"/>
      <c r="D107" s="552"/>
      <c r="E107" s="552"/>
      <c r="F107" s="552"/>
      <c r="G107" s="552"/>
      <c r="H107" s="552"/>
      <c r="I107" s="552"/>
      <c r="J107" s="552"/>
      <c r="K107" s="552"/>
      <c r="L107" s="552"/>
      <c r="M107" s="552"/>
      <c r="N107" s="552"/>
      <c r="O107" s="552"/>
      <c r="P107" s="552"/>
      <c r="Q107" s="552"/>
      <c r="R107" s="552"/>
      <c r="S107" s="552"/>
      <c r="T107" s="552"/>
      <c r="U107" s="552"/>
      <c r="V107" s="552"/>
    </row>
    <row r="108" spans="1:41" ht="12.75" customHeight="1">
      <c r="A108" s="552"/>
      <c r="B108" s="552"/>
      <c r="C108" s="552"/>
      <c r="D108" s="552"/>
      <c r="E108" s="552"/>
      <c r="F108" s="552"/>
      <c r="G108" s="552"/>
      <c r="H108" s="552"/>
      <c r="I108" s="552"/>
      <c r="J108" s="552"/>
      <c r="K108" s="552"/>
      <c r="L108" s="552"/>
      <c r="M108" s="552"/>
      <c r="N108" s="552"/>
      <c r="O108" s="552"/>
      <c r="P108" s="552"/>
      <c r="Q108" s="552"/>
      <c r="R108" s="552"/>
      <c r="S108" s="552"/>
      <c r="T108" s="552"/>
      <c r="U108" s="552"/>
      <c r="V108" s="552"/>
    </row>
    <row r="109" spans="1:41" ht="12.75" customHeight="1">
      <c r="A109" s="552"/>
      <c r="B109" s="552"/>
      <c r="C109" s="552"/>
      <c r="D109" s="552"/>
      <c r="E109" s="552"/>
      <c r="F109" s="552"/>
      <c r="G109" s="552"/>
      <c r="H109" s="552"/>
      <c r="I109" s="552"/>
      <c r="J109" s="552"/>
      <c r="K109" s="552"/>
      <c r="L109" s="552"/>
      <c r="M109" s="552"/>
      <c r="N109" s="552"/>
      <c r="O109" s="552"/>
      <c r="P109" s="552"/>
      <c r="Q109" s="552"/>
      <c r="R109" s="552"/>
      <c r="S109" s="552"/>
      <c r="T109" s="552"/>
      <c r="U109" s="552"/>
      <c r="V109" s="552"/>
    </row>
    <row r="110" spans="1:41" ht="12.75" customHeight="1">
      <c r="A110" s="552"/>
      <c r="B110" s="552"/>
      <c r="C110" s="552"/>
      <c r="D110" s="552"/>
      <c r="E110" s="552"/>
      <c r="F110" s="552"/>
      <c r="G110" s="552"/>
      <c r="H110" s="552"/>
      <c r="I110" s="552"/>
      <c r="J110" s="552"/>
      <c r="K110" s="552"/>
      <c r="L110" s="552"/>
      <c r="M110" s="552"/>
      <c r="N110" s="552"/>
      <c r="O110" s="552"/>
      <c r="P110" s="552"/>
      <c r="Q110" s="552"/>
      <c r="R110" s="552"/>
      <c r="S110" s="552"/>
      <c r="T110" s="552"/>
      <c r="U110" s="552"/>
      <c r="V110" s="552"/>
    </row>
    <row r="111" spans="1:41" ht="12.75" customHeight="1">
      <c r="A111" s="552"/>
      <c r="B111" s="552"/>
      <c r="C111" s="552"/>
      <c r="D111" s="552"/>
      <c r="E111" s="552"/>
      <c r="F111" s="552"/>
      <c r="G111" s="552"/>
      <c r="H111" s="552"/>
      <c r="I111" s="552"/>
      <c r="J111" s="552"/>
      <c r="K111" s="552"/>
      <c r="L111" s="552"/>
      <c r="M111" s="552"/>
      <c r="N111" s="552"/>
      <c r="O111" s="552"/>
      <c r="P111" s="552"/>
      <c r="Q111" s="552"/>
      <c r="R111" s="552"/>
      <c r="S111" s="552"/>
      <c r="T111" s="552"/>
      <c r="U111" s="552"/>
      <c r="V111" s="552"/>
    </row>
    <row r="112" spans="1:41" ht="12.75" customHeight="1">
      <c r="A112" s="552"/>
      <c r="B112" s="552"/>
      <c r="C112" s="552"/>
      <c r="D112" s="552"/>
      <c r="E112" s="552"/>
      <c r="F112" s="552"/>
      <c r="G112" s="552"/>
      <c r="H112" s="552"/>
      <c r="I112" s="552"/>
      <c r="J112" s="552"/>
      <c r="K112" s="552"/>
      <c r="L112" s="552"/>
      <c r="M112" s="552"/>
      <c r="N112" s="552"/>
      <c r="O112" s="552"/>
      <c r="P112" s="552"/>
      <c r="Q112" s="552"/>
      <c r="R112" s="552"/>
      <c r="S112" s="552"/>
      <c r="T112" s="552"/>
      <c r="U112" s="552"/>
      <c r="V112" s="552"/>
    </row>
    <row r="113" spans="1:22" ht="12.75" customHeight="1">
      <c r="A113" s="552"/>
      <c r="B113" s="552"/>
      <c r="C113" s="552"/>
      <c r="D113" s="552"/>
      <c r="E113" s="552"/>
      <c r="F113" s="552"/>
      <c r="G113" s="552"/>
      <c r="H113" s="552"/>
      <c r="I113" s="552"/>
      <c r="J113" s="552"/>
      <c r="K113" s="552"/>
      <c r="L113" s="552"/>
      <c r="M113" s="552"/>
      <c r="N113" s="552"/>
      <c r="O113" s="552"/>
      <c r="P113" s="552"/>
      <c r="Q113" s="552"/>
      <c r="R113" s="552"/>
      <c r="S113" s="552"/>
      <c r="T113" s="552"/>
      <c r="U113" s="552"/>
      <c r="V113" s="552"/>
    </row>
    <row r="114" spans="1:22" ht="12.75" customHeight="1">
      <c r="A114" s="552"/>
      <c r="B114" s="552"/>
      <c r="C114" s="552"/>
      <c r="D114" s="552"/>
      <c r="E114" s="552"/>
      <c r="F114" s="552"/>
      <c r="G114" s="552"/>
      <c r="H114" s="552"/>
      <c r="I114" s="552"/>
      <c r="J114" s="552"/>
      <c r="K114" s="552"/>
      <c r="L114" s="552"/>
      <c r="M114" s="552"/>
      <c r="N114" s="552"/>
      <c r="O114" s="552"/>
      <c r="P114" s="552"/>
      <c r="Q114" s="552"/>
      <c r="R114" s="552"/>
      <c r="S114" s="552"/>
      <c r="T114" s="552"/>
      <c r="U114" s="552"/>
      <c r="V114" s="552"/>
    </row>
    <row r="115" spans="1:22" ht="12.75" customHeight="1">
      <c r="A115" s="552"/>
      <c r="B115" s="552"/>
      <c r="C115" s="552"/>
      <c r="D115" s="552"/>
      <c r="E115" s="552"/>
      <c r="F115" s="552"/>
      <c r="G115" s="552"/>
      <c r="H115" s="552"/>
      <c r="I115" s="552"/>
      <c r="J115" s="552"/>
      <c r="K115" s="552"/>
      <c r="L115" s="552"/>
      <c r="M115" s="552"/>
      <c r="N115" s="552"/>
      <c r="O115" s="552"/>
      <c r="P115" s="552"/>
      <c r="Q115" s="552"/>
      <c r="R115" s="552"/>
      <c r="S115" s="552"/>
      <c r="T115" s="552"/>
      <c r="U115" s="552"/>
      <c r="V115" s="552"/>
    </row>
    <row r="116" spans="1:22" ht="12.75" customHeight="1">
      <c r="A116" s="552"/>
      <c r="B116" s="552"/>
      <c r="C116" s="552"/>
      <c r="D116" s="552"/>
      <c r="E116" s="552"/>
      <c r="F116" s="552"/>
      <c r="G116" s="552"/>
      <c r="H116" s="552"/>
      <c r="I116" s="552"/>
      <c r="J116" s="552"/>
      <c r="K116" s="552"/>
      <c r="L116" s="552"/>
      <c r="M116" s="552"/>
      <c r="N116" s="552"/>
      <c r="O116" s="552"/>
      <c r="P116" s="552"/>
      <c r="Q116" s="552"/>
      <c r="R116" s="552"/>
      <c r="S116" s="552"/>
      <c r="T116" s="552"/>
      <c r="U116" s="552"/>
      <c r="V116" s="552"/>
    </row>
    <row r="117" spans="1:22" ht="12.75" customHeight="1">
      <c r="A117" s="552"/>
      <c r="B117" s="552"/>
      <c r="C117" s="552"/>
      <c r="D117" s="552"/>
      <c r="E117" s="552"/>
      <c r="F117" s="552"/>
      <c r="G117" s="552"/>
      <c r="H117" s="552"/>
      <c r="I117" s="552"/>
      <c r="J117" s="552"/>
      <c r="K117" s="552"/>
      <c r="L117" s="552"/>
      <c r="M117" s="552"/>
      <c r="N117" s="552"/>
      <c r="O117" s="552"/>
      <c r="P117" s="552"/>
      <c r="Q117" s="552"/>
      <c r="R117" s="552"/>
      <c r="S117" s="552"/>
      <c r="T117" s="552"/>
      <c r="U117" s="552"/>
      <c r="V117" s="552"/>
    </row>
    <row r="118" spans="1:22">
      <c r="A118" s="552"/>
      <c r="B118" s="552"/>
      <c r="C118" s="552"/>
      <c r="D118" s="552"/>
      <c r="E118" s="552"/>
      <c r="F118" s="552"/>
      <c r="G118" s="552"/>
      <c r="H118" s="552"/>
      <c r="I118" s="552"/>
      <c r="J118" s="552"/>
      <c r="K118" s="552"/>
      <c r="L118" s="552"/>
      <c r="M118" s="552"/>
      <c r="N118" s="552"/>
      <c r="O118" s="552"/>
      <c r="P118" s="552"/>
      <c r="Q118" s="552"/>
      <c r="R118" s="552"/>
      <c r="S118" s="552"/>
      <c r="T118" s="552"/>
      <c r="U118" s="552"/>
      <c r="V118" s="552"/>
    </row>
    <row r="119" spans="1:22">
      <c r="A119" s="552"/>
      <c r="B119" s="552"/>
      <c r="C119" s="552"/>
      <c r="D119" s="552"/>
      <c r="E119" s="552"/>
      <c r="F119" s="552"/>
      <c r="G119" s="552"/>
      <c r="H119" s="552"/>
      <c r="I119" s="552"/>
      <c r="J119" s="552"/>
      <c r="K119" s="552"/>
      <c r="L119" s="552"/>
      <c r="M119" s="552"/>
      <c r="N119" s="552"/>
      <c r="O119" s="552"/>
      <c r="P119" s="552"/>
      <c r="Q119" s="552"/>
      <c r="R119" s="552"/>
      <c r="S119" s="552"/>
      <c r="T119" s="552"/>
      <c r="U119" s="552"/>
      <c r="V119" s="552"/>
    </row>
    <row r="120" spans="1:22">
      <c r="A120" s="552"/>
      <c r="B120" s="552"/>
      <c r="C120" s="552"/>
      <c r="D120" s="552"/>
      <c r="E120" s="552"/>
      <c r="F120" s="552"/>
      <c r="G120" s="552"/>
      <c r="H120" s="552"/>
      <c r="I120" s="552"/>
      <c r="J120" s="552"/>
      <c r="K120" s="552"/>
      <c r="L120" s="552"/>
      <c r="M120" s="552"/>
      <c r="N120" s="552"/>
      <c r="O120" s="552"/>
      <c r="P120" s="552"/>
      <c r="Q120" s="552"/>
      <c r="R120" s="552"/>
      <c r="S120" s="552"/>
      <c r="T120" s="552"/>
      <c r="U120" s="552"/>
      <c r="V120" s="552"/>
    </row>
    <row r="121" spans="1:22">
      <c r="A121" s="552"/>
      <c r="B121" s="552"/>
      <c r="C121" s="552"/>
      <c r="D121" s="552"/>
      <c r="E121" s="552"/>
      <c r="F121" s="552"/>
      <c r="G121" s="552"/>
      <c r="H121" s="552"/>
      <c r="I121" s="552"/>
      <c r="J121" s="552"/>
      <c r="K121" s="552"/>
      <c r="L121" s="552"/>
      <c r="M121" s="552"/>
      <c r="N121" s="552"/>
      <c r="O121" s="552"/>
      <c r="P121" s="552"/>
      <c r="Q121" s="552"/>
      <c r="R121" s="552"/>
      <c r="S121" s="552"/>
      <c r="T121" s="552"/>
      <c r="U121" s="552"/>
      <c r="V121" s="552"/>
    </row>
    <row r="122" spans="1:22">
      <c r="A122" s="552"/>
      <c r="B122" s="552"/>
      <c r="C122" s="552"/>
      <c r="D122" s="552"/>
      <c r="E122" s="552"/>
      <c r="F122" s="552"/>
      <c r="G122" s="552"/>
      <c r="H122" s="552"/>
      <c r="I122" s="552"/>
      <c r="J122" s="552"/>
      <c r="K122" s="552"/>
      <c r="L122" s="552"/>
      <c r="M122" s="552"/>
      <c r="N122" s="552"/>
      <c r="O122" s="552"/>
      <c r="P122" s="552"/>
      <c r="Q122" s="552"/>
      <c r="R122" s="552"/>
      <c r="S122" s="552"/>
      <c r="T122" s="552"/>
      <c r="U122" s="552"/>
      <c r="V122" s="552"/>
    </row>
    <row r="123" spans="1:22">
      <c r="A123" s="552"/>
      <c r="B123" s="552"/>
      <c r="C123" s="552"/>
      <c r="D123" s="552"/>
      <c r="E123" s="552"/>
      <c r="F123" s="552"/>
      <c r="G123" s="552"/>
      <c r="H123" s="552"/>
      <c r="I123" s="552"/>
      <c r="J123" s="552"/>
      <c r="K123" s="552"/>
      <c r="L123" s="552"/>
      <c r="M123" s="552"/>
      <c r="N123" s="552"/>
      <c r="O123" s="552"/>
      <c r="P123" s="552"/>
      <c r="Q123" s="552"/>
      <c r="R123" s="552"/>
      <c r="S123" s="552"/>
      <c r="T123" s="552"/>
      <c r="U123" s="552"/>
      <c r="V123" s="552"/>
    </row>
    <row r="124" spans="1:22">
      <c r="A124" s="552"/>
      <c r="B124" s="552"/>
      <c r="C124" s="552"/>
      <c r="D124" s="552"/>
      <c r="E124" s="552"/>
      <c r="F124" s="552"/>
      <c r="G124" s="552"/>
      <c r="H124" s="552"/>
      <c r="I124" s="552"/>
      <c r="J124" s="552"/>
      <c r="K124" s="552"/>
      <c r="L124" s="552"/>
      <c r="M124" s="552"/>
      <c r="N124" s="552"/>
      <c r="O124" s="552"/>
      <c r="P124" s="552"/>
      <c r="Q124" s="552"/>
      <c r="R124" s="552"/>
      <c r="S124" s="552"/>
      <c r="T124" s="552"/>
      <c r="U124" s="552"/>
      <c r="V124" s="552"/>
    </row>
    <row r="125" spans="1:22">
      <c r="A125" s="552"/>
      <c r="B125" s="552"/>
      <c r="C125" s="552"/>
      <c r="D125" s="552"/>
      <c r="E125" s="552"/>
      <c r="F125" s="552"/>
      <c r="G125" s="552"/>
      <c r="H125" s="552"/>
      <c r="I125" s="552"/>
      <c r="J125" s="552"/>
      <c r="K125" s="552"/>
      <c r="L125" s="552"/>
      <c r="M125" s="552"/>
      <c r="N125" s="552"/>
      <c r="O125" s="552"/>
      <c r="P125" s="552"/>
      <c r="Q125" s="552"/>
      <c r="R125" s="552"/>
      <c r="S125" s="552"/>
      <c r="T125" s="552"/>
      <c r="U125" s="552"/>
      <c r="V125" s="552"/>
    </row>
    <row r="126" spans="1:22">
      <c r="A126" s="552"/>
      <c r="B126" s="552"/>
      <c r="C126" s="552"/>
      <c r="D126" s="552"/>
      <c r="E126" s="552"/>
      <c r="F126" s="552"/>
      <c r="G126" s="552"/>
      <c r="H126" s="552"/>
      <c r="I126" s="552"/>
      <c r="J126" s="552"/>
      <c r="K126" s="552"/>
      <c r="L126" s="552"/>
      <c r="M126" s="552"/>
      <c r="N126" s="552"/>
      <c r="O126" s="552"/>
      <c r="P126" s="552"/>
      <c r="Q126" s="552"/>
      <c r="R126" s="552"/>
      <c r="S126" s="552"/>
      <c r="T126" s="552"/>
      <c r="U126" s="552"/>
      <c r="V126" s="552"/>
    </row>
    <row r="127" spans="1:22">
      <c r="A127" s="552"/>
      <c r="B127" s="552"/>
      <c r="C127" s="552"/>
      <c r="D127" s="552"/>
      <c r="E127" s="552"/>
      <c r="F127" s="552"/>
      <c r="G127" s="552"/>
      <c r="H127" s="552"/>
      <c r="I127" s="552"/>
      <c r="J127" s="552"/>
      <c r="K127" s="552"/>
      <c r="L127" s="552"/>
      <c r="M127" s="552"/>
      <c r="N127" s="552"/>
      <c r="O127" s="552"/>
      <c r="P127" s="552"/>
      <c r="Q127" s="552"/>
      <c r="R127" s="552"/>
      <c r="S127" s="552"/>
      <c r="T127" s="552"/>
      <c r="U127" s="552"/>
      <c r="V127" s="552"/>
    </row>
    <row r="128" spans="1:22">
      <c r="A128" s="552"/>
      <c r="B128" s="552"/>
      <c r="C128" s="552"/>
      <c r="D128" s="552"/>
      <c r="E128" s="552"/>
      <c r="F128" s="552"/>
      <c r="G128" s="552"/>
      <c r="H128" s="552"/>
      <c r="I128" s="552"/>
      <c r="J128" s="552"/>
      <c r="K128" s="552"/>
      <c r="L128" s="552"/>
      <c r="M128" s="552"/>
      <c r="N128" s="552"/>
      <c r="O128" s="552"/>
      <c r="P128" s="552"/>
      <c r="Q128" s="552"/>
      <c r="R128" s="552"/>
      <c r="S128" s="552"/>
      <c r="T128" s="552"/>
      <c r="U128" s="552"/>
      <c r="V128" s="552"/>
    </row>
    <row r="129" spans="1:22">
      <c r="A129" s="552"/>
      <c r="B129" s="552"/>
      <c r="C129" s="552"/>
      <c r="D129" s="552"/>
      <c r="E129" s="552"/>
      <c r="F129" s="552"/>
      <c r="G129" s="552"/>
      <c r="H129" s="552"/>
      <c r="I129" s="552"/>
      <c r="J129" s="552"/>
      <c r="K129" s="552"/>
      <c r="L129" s="552"/>
      <c r="M129" s="552"/>
      <c r="N129" s="552"/>
      <c r="O129" s="552"/>
      <c r="P129" s="552"/>
      <c r="Q129" s="552"/>
      <c r="R129" s="552"/>
      <c r="S129" s="552"/>
      <c r="T129" s="552"/>
      <c r="U129" s="552"/>
      <c r="V129" s="552"/>
    </row>
    <row r="130" spans="1:22">
      <c r="A130" s="552"/>
      <c r="B130" s="552"/>
      <c r="C130" s="552"/>
      <c r="D130" s="552"/>
      <c r="E130" s="552"/>
      <c r="F130" s="552"/>
      <c r="G130" s="552"/>
      <c r="H130" s="552"/>
      <c r="I130" s="552"/>
      <c r="J130" s="552"/>
      <c r="K130" s="552"/>
      <c r="L130" s="552"/>
      <c r="M130" s="552"/>
      <c r="N130" s="552"/>
      <c r="O130" s="552"/>
      <c r="P130" s="552"/>
      <c r="Q130" s="552"/>
      <c r="R130" s="552"/>
      <c r="S130" s="552"/>
      <c r="T130" s="552"/>
      <c r="U130" s="552"/>
      <c r="V130" s="552"/>
    </row>
    <row r="131" spans="1:22">
      <c r="A131" s="552"/>
      <c r="B131" s="552"/>
      <c r="C131" s="552"/>
      <c r="D131" s="552"/>
      <c r="E131" s="552"/>
      <c r="F131" s="552"/>
      <c r="G131" s="552"/>
      <c r="H131" s="552"/>
      <c r="I131" s="552"/>
      <c r="J131" s="552"/>
      <c r="K131" s="552"/>
      <c r="L131" s="552"/>
      <c r="M131" s="552"/>
      <c r="N131" s="552"/>
      <c r="O131" s="552"/>
      <c r="P131" s="552"/>
      <c r="Q131" s="552"/>
      <c r="R131" s="552"/>
      <c r="S131" s="552"/>
      <c r="T131" s="552"/>
      <c r="U131" s="552"/>
      <c r="V131" s="552"/>
    </row>
    <row r="132" spans="1:22">
      <c r="A132" s="552"/>
      <c r="B132" s="552"/>
      <c r="C132" s="552"/>
      <c r="D132" s="552"/>
      <c r="E132" s="552"/>
      <c r="F132" s="552"/>
      <c r="G132" s="552"/>
      <c r="H132" s="552"/>
      <c r="I132" s="552"/>
      <c r="J132" s="552"/>
      <c r="K132" s="552"/>
      <c r="L132" s="552"/>
      <c r="M132" s="552"/>
      <c r="N132" s="552"/>
      <c r="O132" s="552"/>
      <c r="P132" s="552"/>
      <c r="Q132" s="552"/>
      <c r="R132" s="552"/>
      <c r="S132" s="552"/>
      <c r="T132" s="552"/>
      <c r="U132" s="552"/>
      <c r="V132" s="552"/>
    </row>
    <row r="133" spans="1:22">
      <c r="A133" s="552"/>
      <c r="B133" s="552"/>
      <c r="C133" s="552"/>
      <c r="D133" s="552"/>
      <c r="E133" s="552"/>
      <c r="F133" s="552"/>
      <c r="G133" s="552"/>
      <c r="H133" s="552"/>
      <c r="I133" s="552"/>
      <c r="J133" s="552"/>
      <c r="K133" s="552"/>
      <c r="L133" s="552"/>
      <c r="M133" s="552"/>
      <c r="N133" s="552"/>
      <c r="O133" s="552"/>
      <c r="P133" s="552"/>
      <c r="Q133" s="552"/>
      <c r="R133" s="552"/>
      <c r="S133" s="552"/>
      <c r="T133" s="552"/>
      <c r="U133" s="552"/>
      <c r="V133" s="552"/>
    </row>
    <row r="134" spans="1:22">
      <c r="A134" s="552"/>
      <c r="B134" s="552"/>
      <c r="C134" s="552"/>
      <c r="D134" s="552"/>
      <c r="E134" s="552"/>
      <c r="F134" s="552"/>
      <c r="G134" s="552"/>
      <c r="H134" s="552"/>
      <c r="I134" s="552"/>
      <c r="J134" s="552"/>
      <c r="K134" s="552"/>
      <c r="L134" s="552"/>
      <c r="M134" s="552"/>
      <c r="N134" s="552"/>
      <c r="O134" s="552"/>
      <c r="P134" s="552"/>
      <c r="Q134" s="552"/>
      <c r="R134" s="552"/>
      <c r="S134" s="552"/>
      <c r="T134" s="552"/>
      <c r="U134" s="552"/>
      <c r="V134" s="552"/>
    </row>
    <row r="135" spans="1:22">
      <c r="A135" s="552"/>
      <c r="B135" s="552"/>
      <c r="C135" s="552"/>
      <c r="D135" s="552"/>
      <c r="E135" s="552"/>
      <c r="F135" s="552"/>
      <c r="G135" s="552"/>
      <c r="H135" s="552"/>
      <c r="I135" s="552"/>
      <c r="J135" s="552"/>
      <c r="K135" s="552"/>
      <c r="L135" s="552"/>
      <c r="M135" s="552"/>
      <c r="N135" s="552"/>
      <c r="O135" s="552"/>
      <c r="P135" s="552"/>
      <c r="Q135" s="552"/>
      <c r="R135" s="552"/>
      <c r="S135" s="552"/>
      <c r="T135" s="552"/>
      <c r="U135" s="552"/>
      <c r="V135" s="552"/>
    </row>
    <row r="136" spans="1:22">
      <c r="A136" s="552"/>
      <c r="B136" s="552"/>
      <c r="C136" s="552"/>
      <c r="D136" s="552"/>
      <c r="E136" s="552"/>
      <c r="F136" s="552"/>
      <c r="G136" s="552"/>
      <c r="H136" s="552"/>
      <c r="I136" s="552"/>
      <c r="J136" s="552"/>
      <c r="K136" s="552"/>
      <c r="L136" s="552"/>
      <c r="M136" s="552"/>
      <c r="N136" s="552"/>
      <c r="O136" s="552"/>
      <c r="P136" s="552"/>
      <c r="Q136" s="552"/>
      <c r="R136" s="552"/>
      <c r="S136" s="552"/>
      <c r="T136" s="552"/>
      <c r="U136" s="552"/>
      <c r="V136" s="552"/>
    </row>
    <row r="137" spans="1:22">
      <c r="A137" s="552"/>
      <c r="B137" s="552"/>
      <c r="C137" s="552"/>
      <c r="D137" s="552"/>
      <c r="E137" s="552"/>
      <c r="F137" s="552"/>
      <c r="G137" s="552"/>
      <c r="H137" s="552"/>
      <c r="I137" s="552"/>
      <c r="J137" s="552"/>
      <c r="K137" s="552"/>
      <c r="L137" s="552"/>
      <c r="M137" s="552"/>
      <c r="N137" s="552"/>
      <c r="O137" s="552"/>
      <c r="P137" s="552"/>
      <c r="Q137" s="552"/>
      <c r="R137" s="552"/>
      <c r="S137" s="552"/>
      <c r="T137" s="552"/>
      <c r="U137" s="552"/>
      <c r="V137" s="552"/>
    </row>
    <row r="138" spans="1:22" ht="12.75" customHeight="1">
      <c r="A138" s="552"/>
      <c r="B138" s="552"/>
      <c r="C138" s="552"/>
      <c r="D138" s="552"/>
      <c r="E138" s="552"/>
      <c r="F138" s="552"/>
      <c r="G138" s="552"/>
      <c r="H138" s="552"/>
      <c r="I138" s="552"/>
      <c r="J138" s="552"/>
      <c r="K138" s="552"/>
      <c r="L138" s="552"/>
      <c r="M138" s="552"/>
      <c r="N138" s="552"/>
      <c r="O138" s="552"/>
      <c r="P138" s="552"/>
      <c r="Q138" s="552"/>
      <c r="R138" s="552"/>
      <c r="S138" s="552"/>
      <c r="T138" s="552"/>
      <c r="U138" s="552"/>
      <c r="V138" s="552"/>
    </row>
    <row r="139" spans="1:22" ht="12.75" customHeight="1">
      <c r="A139" s="552"/>
      <c r="B139" s="552"/>
      <c r="C139" s="552"/>
      <c r="D139" s="552"/>
      <c r="E139" s="552"/>
      <c r="F139" s="552"/>
      <c r="G139" s="552"/>
      <c r="H139" s="552"/>
      <c r="I139" s="552"/>
      <c r="J139" s="552"/>
      <c r="K139" s="552"/>
      <c r="L139" s="552"/>
      <c r="M139" s="552"/>
      <c r="N139" s="552"/>
      <c r="O139" s="552"/>
      <c r="P139" s="552"/>
      <c r="Q139" s="552"/>
      <c r="R139" s="552"/>
      <c r="S139" s="552"/>
      <c r="T139" s="552"/>
      <c r="U139" s="552"/>
      <c r="V139" s="552"/>
    </row>
    <row r="140" spans="1:22" ht="12.75" customHeight="1">
      <c r="A140" s="552"/>
      <c r="B140" s="552"/>
      <c r="C140" s="552"/>
      <c r="D140" s="552"/>
      <c r="E140" s="552"/>
      <c r="F140" s="552"/>
      <c r="G140" s="552"/>
      <c r="H140" s="552"/>
      <c r="I140" s="552"/>
      <c r="J140" s="552"/>
      <c r="K140" s="552"/>
      <c r="L140" s="552"/>
      <c r="M140" s="552"/>
      <c r="N140" s="552"/>
      <c r="O140" s="552"/>
      <c r="P140" s="552"/>
      <c r="Q140" s="552"/>
      <c r="R140" s="552"/>
      <c r="S140" s="552"/>
      <c r="T140" s="552"/>
      <c r="U140" s="552"/>
      <c r="V140" s="552"/>
    </row>
    <row r="141" spans="1:22">
      <c r="A141" s="552"/>
      <c r="B141" s="552"/>
      <c r="C141" s="552"/>
      <c r="D141" s="552"/>
      <c r="E141" s="552"/>
      <c r="F141" s="552"/>
      <c r="G141" s="552"/>
      <c r="H141" s="552"/>
      <c r="I141" s="552"/>
      <c r="J141" s="552"/>
      <c r="K141" s="552"/>
      <c r="L141" s="552"/>
      <c r="M141" s="552"/>
      <c r="N141" s="552"/>
      <c r="O141" s="552"/>
      <c r="P141" s="552"/>
      <c r="Q141" s="552"/>
      <c r="R141" s="552"/>
      <c r="S141" s="552"/>
      <c r="T141" s="552"/>
      <c r="U141" s="552"/>
      <c r="V141" s="552"/>
    </row>
    <row r="142" spans="1:22">
      <c r="A142" s="552"/>
      <c r="B142" s="552"/>
      <c r="C142" s="552"/>
      <c r="D142" s="552"/>
      <c r="E142" s="552"/>
      <c r="F142" s="552"/>
      <c r="G142" s="552"/>
      <c r="H142" s="552"/>
      <c r="I142" s="552"/>
      <c r="J142" s="552"/>
      <c r="K142" s="552"/>
      <c r="L142" s="552"/>
      <c r="M142" s="552"/>
      <c r="N142" s="552"/>
      <c r="O142" s="552"/>
      <c r="P142" s="552"/>
      <c r="Q142" s="552"/>
      <c r="R142" s="552"/>
      <c r="S142" s="552"/>
      <c r="T142" s="552"/>
      <c r="U142" s="552"/>
      <c r="V142" s="552"/>
    </row>
    <row r="143" spans="1:22">
      <c r="A143" s="552"/>
      <c r="B143" s="552"/>
      <c r="C143" s="552"/>
      <c r="D143" s="552"/>
      <c r="E143" s="552"/>
      <c r="F143" s="552"/>
      <c r="G143" s="552"/>
      <c r="H143" s="552"/>
      <c r="I143" s="552"/>
      <c r="J143" s="552"/>
      <c r="K143" s="552"/>
      <c r="L143" s="552"/>
      <c r="M143" s="552"/>
      <c r="N143" s="552"/>
      <c r="O143" s="552"/>
      <c r="P143" s="552"/>
      <c r="Q143" s="552"/>
      <c r="R143" s="552"/>
      <c r="S143" s="552"/>
      <c r="T143" s="552"/>
      <c r="U143" s="552"/>
      <c r="V143" s="552"/>
    </row>
    <row r="144" spans="1:22">
      <c r="A144" s="552"/>
      <c r="B144" s="552"/>
      <c r="C144" s="552"/>
      <c r="D144" s="552"/>
      <c r="E144" s="552"/>
      <c r="F144" s="552"/>
      <c r="G144" s="552"/>
      <c r="H144" s="552"/>
      <c r="I144" s="552"/>
      <c r="J144" s="552"/>
      <c r="K144" s="552"/>
      <c r="L144" s="552"/>
      <c r="M144" s="552"/>
      <c r="N144" s="552"/>
      <c r="O144" s="552"/>
      <c r="P144" s="552"/>
      <c r="Q144" s="552"/>
      <c r="R144" s="552"/>
      <c r="S144" s="552"/>
      <c r="T144" s="552"/>
      <c r="U144" s="552"/>
      <c r="V144" s="552"/>
    </row>
    <row r="145" spans="1:22">
      <c r="A145" s="552"/>
      <c r="B145" s="552"/>
      <c r="C145" s="552"/>
      <c r="D145" s="552"/>
      <c r="E145" s="552"/>
      <c r="F145" s="552"/>
      <c r="G145" s="552"/>
      <c r="H145" s="552"/>
      <c r="I145" s="552"/>
      <c r="J145" s="552"/>
      <c r="K145" s="552"/>
      <c r="L145" s="552"/>
      <c r="M145" s="552"/>
      <c r="N145" s="552"/>
      <c r="O145" s="552"/>
      <c r="P145" s="552"/>
      <c r="Q145" s="552"/>
      <c r="R145" s="552"/>
      <c r="S145" s="552"/>
      <c r="T145" s="552"/>
      <c r="U145" s="552"/>
      <c r="V145" s="552"/>
    </row>
    <row r="146" spans="1:22">
      <c r="A146" s="552"/>
      <c r="B146" s="552"/>
      <c r="C146" s="552"/>
      <c r="D146" s="552"/>
      <c r="E146" s="552"/>
      <c r="F146" s="552"/>
      <c r="G146" s="552"/>
      <c r="H146" s="552"/>
      <c r="I146" s="552"/>
      <c r="J146" s="552"/>
      <c r="K146" s="552"/>
      <c r="L146" s="552"/>
      <c r="M146" s="552"/>
      <c r="N146" s="552"/>
      <c r="O146" s="552"/>
      <c r="P146" s="552"/>
      <c r="Q146" s="552"/>
      <c r="R146" s="552"/>
      <c r="S146" s="552"/>
      <c r="T146" s="552"/>
      <c r="U146" s="552"/>
      <c r="V146" s="552"/>
    </row>
    <row r="147" spans="1:22">
      <c r="A147" s="552"/>
      <c r="B147" s="552"/>
      <c r="C147" s="552"/>
      <c r="D147" s="552"/>
      <c r="E147" s="552"/>
      <c r="F147" s="552"/>
      <c r="G147" s="552"/>
      <c r="H147" s="552"/>
      <c r="I147" s="552"/>
      <c r="J147" s="552"/>
      <c r="K147" s="552"/>
      <c r="L147" s="552"/>
      <c r="M147" s="552"/>
      <c r="N147" s="552"/>
      <c r="O147" s="552"/>
      <c r="P147" s="552"/>
      <c r="Q147" s="552"/>
      <c r="R147" s="552"/>
      <c r="S147" s="552"/>
      <c r="T147" s="552"/>
      <c r="U147" s="552"/>
      <c r="V147" s="552"/>
    </row>
    <row r="148" spans="1:22">
      <c r="A148" s="552"/>
      <c r="B148" s="552"/>
      <c r="C148" s="552"/>
      <c r="D148" s="552"/>
      <c r="E148" s="552"/>
      <c r="F148" s="552"/>
      <c r="G148" s="552"/>
      <c r="H148" s="552"/>
      <c r="I148" s="552"/>
      <c r="J148" s="552"/>
      <c r="K148" s="552"/>
      <c r="L148" s="552"/>
      <c r="M148" s="552"/>
      <c r="N148" s="552"/>
      <c r="O148" s="552"/>
      <c r="P148" s="552"/>
      <c r="Q148" s="552"/>
      <c r="R148" s="552"/>
      <c r="S148" s="552"/>
      <c r="T148" s="552"/>
      <c r="U148" s="552"/>
      <c r="V148" s="552"/>
    </row>
    <row r="149" spans="1:22">
      <c r="A149" s="552"/>
      <c r="B149" s="552"/>
      <c r="C149" s="552"/>
      <c r="D149" s="552"/>
      <c r="E149" s="552"/>
      <c r="F149" s="552"/>
      <c r="G149" s="552"/>
      <c r="H149" s="552"/>
      <c r="I149" s="552"/>
      <c r="J149" s="552"/>
      <c r="K149" s="552"/>
      <c r="L149" s="552"/>
      <c r="M149" s="552"/>
      <c r="N149" s="552"/>
      <c r="O149" s="552"/>
      <c r="P149" s="552"/>
      <c r="Q149" s="552"/>
      <c r="R149" s="552"/>
      <c r="S149" s="552"/>
      <c r="T149" s="552"/>
      <c r="U149" s="552"/>
      <c r="V149" s="552"/>
    </row>
    <row r="150" spans="1:22">
      <c r="A150" s="552"/>
      <c r="B150" s="552"/>
      <c r="C150" s="552"/>
      <c r="D150" s="552"/>
      <c r="E150" s="552"/>
      <c r="F150" s="552"/>
      <c r="G150" s="552"/>
      <c r="H150" s="552"/>
      <c r="I150" s="552"/>
      <c r="J150" s="552"/>
      <c r="K150" s="552"/>
      <c r="L150" s="552"/>
      <c r="M150" s="552"/>
      <c r="N150" s="552"/>
      <c r="O150" s="552"/>
      <c r="P150" s="552"/>
      <c r="Q150" s="552"/>
      <c r="R150" s="552"/>
      <c r="S150" s="552"/>
      <c r="T150" s="552"/>
      <c r="U150" s="552"/>
      <c r="V150" s="552"/>
    </row>
    <row r="151" spans="1:22">
      <c r="A151" s="552"/>
      <c r="B151" s="552"/>
      <c r="C151" s="552"/>
      <c r="D151" s="552"/>
      <c r="E151" s="552"/>
      <c r="F151" s="552"/>
      <c r="G151" s="552"/>
      <c r="H151" s="552"/>
      <c r="I151" s="552"/>
      <c r="J151" s="552"/>
      <c r="K151" s="552"/>
      <c r="L151" s="552"/>
      <c r="M151" s="552"/>
      <c r="N151" s="552"/>
      <c r="O151" s="552"/>
      <c r="P151" s="552"/>
      <c r="Q151" s="552"/>
      <c r="R151" s="552"/>
      <c r="S151" s="552"/>
      <c r="T151" s="552"/>
      <c r="U151" s="552"/>
      <c r="V151" s="552"/>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0" orientation="landscape"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3"/>
  <sheetViews>
    <sheetView topLeftCell="A25" zoomScale="85" zoomScaleNormal="85" zoomScaleSheetLayoutView="85" workbookViewId="0">
      <selection activeCell="E41" sqref="E41:F41"/>
    </sheetView>
  </sheetViews>
  <sheetFormatPr defaultRowHeight="15"/>
  <cols>
    <col min="1" max="1" width="10.42578125" style="57" customWidth="1"/>
    <col min="2" max="2" width="15.140625" style="26" customWidth="1"/>
    <col min="3" max="3" width="59.1406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899" t="s">
        <v>115</v>
      </c>
    </row>
    <row r="2" spans="1:11" ht="15.75">
      <c r="A2" s="899" t="s">
        <v>115</v>
      </c>
    </row>
    <row r="3" spans="1:11">
      <c r="A3" s="1399" t="s">
        <v>388</v>
      </c>
      <c r="B3" s="1399"/>
      <c r="C3" s="1399"/>
      <c r="D3" s="1399"/>
      <c r="E3" s="1399"/>
      <c r="F3" s="1399"/>
      <c r="G3" s="1399"/>
      <c r="H3" s="38"/>
    </row>
    <row r="4" spans="1:11" ht="17.25" customHeight="1">
      <c r="A4" s="1400" t="str">
        <f>"Cost of Service Formula Rate Using Actual/Projected FF1 Balances"</f>
        <v>Cost of Service Formula Rate Using Actual/Projected FF1 Balances</v>
      </c>
      <c r="B4" s="1400"/>
      <c r="C4" s="1400"/>
      <c r="D4" s="1400"/>
      <c r="E4" s="1400"/>
      <c r="F4" s="1400"/>
      <c r="G4" s="1400"/>
      <c r="H4" s="96"/>
      <c r="I4" s="96"/>
      <c r="J4" s="96"/>
      <c r="K4" s="96"/>
    </row>
    <row r="5" spans="1:11" ht="18" customHeight="1">
      <c r="A5" s="1400" t="s">
        <v>489</v>
      </c>
      <c r="B5" s="1400"/>
      <c r="C5" s="1400"/>
      <c r="D5" s="1400"/>
      <c r="E5" s="1400"/>
      <c r="F5" s="1400"/>
      <c r="G5" s="1400"/>
    </row>
    <row r="6" spans="1:11" ht="19.5" customHeight="1">
      <c r="A6" s="1411" t="str">
        <f>TCOS!F9</f>
        <v>Appalachian Power Company</v>
      </c>
      <c r="B6" s="1411"/>
      <c r="C6" s="1411"/>
      <c r="D6" s="1411"/>
      <c r="E6" s="1411"/>
      <c r="F6" s="1411"/>
      <c r="G6" s="1411"/>
    </row>
    <row r="7" spans="1:11" ht="12.75" customHeight="1">
      <c r="A7" s="1399"/>
      <c r="B7" s="1399"/>
      <c r="C7" s="1399"/>
      <c r="D7" s="1399"/>
      <c r="E7" s="1399"/>
      <c r="F7" s="1399"/>
      <c r="G7" s="45"/>
    </row>
    <row r="8" spans="1:11" ht="18">
      <c r="A8" s="1427"/>
      <c r="B8" s="1427"/>
      <c r="C8" s="1427"/>
      <c r="D8" s="1427"/>
      <c r="E8" s="1427"/>
      <c r="F8" s="1427"/>
      <c r="G8" s="1427"/>
    </row>
    <row r="9" spans="1:11" ht="18">
      <c r="A9" s="161"/>
      <c r="B9" s="161"/>
      <c r="C9" s="161"/>
      <c r="D9" s="161"/>
      <c r="E9" s="161"/>
      <c r="F9" s="161"/>
      <c r="G9" s="161"/>
    </row>
    <row r="10" spans="1:11" ht="15.75">
      <c r="B10" s="35" t="s">
        <v>163</v>
      </c>
      <c r="C10" s="35" t="s">
        <v>164</v>
      </c>
      <c r="D10" s="35" t="s">
        <v>165</v>
      </c>
      <c r="E10" s="35" t="s">
        <v>166</v>
      </c>
      <c r="F10" s="35" t="s">
        <v>84</v>
      </c>
      <c r="G10" s="35" t="s">
        <v>85</v>
      </c>
    </row>
    <row r="11" spans="1:11" ht="15.75">
      <c r="B11" s="49"/>
      <c r="C11" s="45"/>
      <c r="D11" s="200"/>
      <c r="E11" s="201"/>
      <c r="F11" s="202" t="s">
        <v>87</v>
      </c>
      <c r="G11" s="35"/>
    </row>
    <row r="12" spans="1:11" ht="15.75">
      <c r="A12" s="52" t="s">
        <v>170</v>
      </c>
      <c r="B12" s="49"/>
      <c r="C12" s="58"/>
      <c r="D12" s="52">
        <f>+TCOS!L4</f>
        <v>2018</v>
      </c>
      <c r="E12" s="202" t="s">
        <v>87</v>
      </c>
      <c r="F12" s="52" t="s">
        <v>116</v>
      </c>
      <c r="G12" s="35"/>
    </row>
    <row r="13" spans="1:11" ht="15.75">
      <c r="A13" s="52" t="s">
        <v>106</v>
      </c>
      <c r="B13" s="52" t="s">
        <v>36</v>
      </c>
      <c r="C13" s="52" t="s">
        <v>168</v>
      </c>
      <c r="D13" s="52" t="s">
        <v>37</v>
      </c>
      <c r="E13" s="52" t="s">
        <v>89</v>
      </c>
      <c r="F13" s="52" t="s">
        <v>38</v>
      </c>
      <c r="G13" s="52" t="s">
        <v>39</v>
      </c>
    </row>
    <row r="14" spans="1:11" ht="15.75">
      <c r="B14" s="52"/>
      <c r="C14" s="52"/>
      <c r="D14" s="52"/>
      <c r="E14" s="52"/>
      <c r="F14" s="52"/>
      <c r="G14" s="52"/>
    </row>
    <row r="15" spans="1:11" ht="15.75">
      <c r="B15" s="52"/>
      <c r="C15" s="52"/>
      <c r="D15" s="52"/>
      <c r="E15" s="52"/>
      <c r="F15" s="52"/>
      <c r="G15" s="52"/>
    </row>
    <row r="16" spans="1:11" ht="15.75">
      <c r="B16" s="52"/>
      <c r="D16" s="52"/>
      <c r="E16" s="52"/>
      <c r="F16" s="52"/>
      <c r="G16" s="52"/>
    </row>
    <row r="17" spans="1:7" ht="15.75">
      <c r="B17" s="52"/>
      <c r="C17" s="52" t="s">
        <v>497</v>
      </c>
      <c r="D17" s="43"/>
      <c r="E17" s="43"/>
      <c r="F17" s="43"/>
      <c r="G17" s="89"/>
    </row>
    <row r="18" spans="1:7">
      <c r="A18" s="57">
        <v>1</v>
      </c>
      <c r="B18" s="1253">
        <v>5660007</v>
      </c>
      <c r="C18" s="864" t="s">
        <v>928</v>
      </c>
      <c r="D18" s="1254">
        <v>43943468.909999996</v>
      </c>
      <c r="E18" s="66"/>
      <c r="F18" s="66"/>
      <c r="G18" s="895"/>
    </row>
    <row r="19" spans="1:7">
      <c r="A19" s="57">
        <v>2</v>
      </c>
      <c r="B19" s="1253">
        <v>5660000</v>
      </c>
      <c r="C19" s="864" t="s">
        <v>1021</v>
      </c>
      <c r="D19" s="1254">
        <v>35113</v>
      </c>
      <c r="E19" s="66"/>
      <c r="F19" s="66"/>
      <c r="G19" s="42"/>
    </row>
    <row r="20" spans="1:7">
      <c r="A20" s="57">
        <v>3</v>
      </c>
      <c r="B20" s="863"/>
      <c r="C20" s="864"/>
      <c r="D20" s="865"/>
      <c r="E20" s="66"/>
      <c r="F20" s="66"/>
      <c r="G20" s="42"/>
    </row>
    <row r="21" spans="1:7" ht="15.75">
      <c r="A21" s="57">
        <v>4</v>
      </c>
      <c r="B21" s="52"/>
      <c r="C21" s="226" t="s">
        <v>119</v>
      </c>
      <c r="D21" s="296">
        <f>SUM(D18:D19)</f>
        <v>43978581.909999996</v>
      </c>
      <c r="E21" s="66"/>
      <c r="F21" s="66"/>
      <c r="G21" s="52"/>
    </row>
    <row r="22" spans="1:7" ht="15.75">
      <c r="B22" s="52"/>
      <c r="C22" s="226"/>
      <c r="D22" s="241"/>
      <c r="E22" s="43"/>
      <c r="F22" s="43"/>
      <c r="G22" s="52"/>
    </row>
    <row r="23" spans="1:7" ht="15.75">
      <c r="A23" s="9"/>
      <c r="B23" s="52"/>
      <c r="C23" s="52" t="s">
        <v>49</v>
      </c>
      <c r="D23" s="290"/>
      <c r="E23" s="43"/>
      <c r="F23" s="43"/>
      <c r="G23" s="52"/>
    </row>
    <row r="24" spans="1:7" ht="15.75">
      <c r="A24" s="51">
        <f>+A21+1</f>
        <v>5</v>
      </c>
      <c r="B24" s="293"/>
      <c r="C24" s="291"/>
      <c r="D24" s="1131"/>
      <c r="E24" s="43"/>
      <c r="F24" s="43"/>
      <c r="G24" s="52"/>
    </row>
    <row r="25" spans="1:7" ht="15.75">
      <c r="A25" s="292">
        <f>+A24+1</f>
        <v>6</v>
      </c>
      <c r="B25" s="293" t="s">
        <v>50</v>
      </c>
      <c r="C25" s="293" t="s">
        <v>51</v>
      </c>
      <c r="D25" s="866">
        <v>119.64</v>
      </c>
      <c r="E25" s="43"/>
      <c r="F25" s="43"/>
      <c r="G25" s="52"/>
    </row>
    <row r="26" spans="1:7" ht="15.75">
      <c r="A26" s="51">
        <f>+A25+1</f>
        <v>7</v>
      </c>
      <c r="B26" s="291" t="s">
        <v>52</v>
      </c>
      <c r="C26" s="291" t="s">
        <v>53</v>
      </c>
      <c r="D26" s="866">
        <v>2163691</v>
      </c>
      <c r="E26" s="43"/>
      <c r="F26" s="43"/>
      <c r="G26" s="52"/>
    </row>
    <row r="27" spans="1:7" ht="15.75">
      <c r="A27" s="292">
        <f t="shared" ref="A27:A32" si="0">+A26+1</f>
        <v>8</v>
      </c>
      <c r="B27" s="293" t="s">
        <v>54</v>
      </c>
      <c r="C27" s="293" t="s">
        <v>55</v>
      </c>
      <c r="D27" s="867"/>
      <c r="E27" s="43"/>
      <c r="F27" s="43"/>
      <c r="G27" s="52"/>
    </row>
    <row r="28" spans="1:7" ht="15.75">
      <c r="A28" s="51">
        <f t="shared" si="0"/>
        <v>9</v>
      </c>
      <c r="B28" s="291" t="s">
        <v>56</v>
      </c>
      <c r="C28" s="291" t="s">
        <v>57</v>
      </c>
      <c r="D28" s="866">
        <v>7509381.4500000002</v>
      </c>
      <c r="E28" s="43"/>
      <c r="F28" s="43"/>
      <c r="G28" s="52"/>
    </row>
    <row r="29" spans="1:7" ht="15.75">
      <c r="A29" s="292">
        <f t="shared" si="0"/>
        <v>10</v>
      </c>
      <c r="B29" s="293" t="s">
        <v>58</v>
      </c>
      <c r="C29" s="293" t="s">
        <v>59</v>
      </c>
      <c r="D29" s="866">
        <v>457271.05</v>
      </c>
      <c r="E29" s="43"/>
      <c r="F29" s="43"/>
      <c r="G29" s="52"/>
    </row>
    <row r="30" spans="1:7" ht="15.75">
      <c r="A30" s="51">
        <f t="shared" si="0"/>
        <v>11</v>
      </c>
      <c r="B30" s="291" t="s">
        <v>60</v>
      </c>
      <c r="C30" s="291" t="s">
        <v>61</v>
      </c>
      <c r="D30" s="866">
        <v>60.53</v>
      </c>
      <c r="E30" s="43"/>
      <c r="F30" s="43"/>
      <c r="G30" s="52"/>
    </row>
    <row r="31" spans="1:7" ht="15.75">
      <c r="A31" s="292">
        <f t="shared" si="0"/>
        <v>12</v>
      </c>
      <c r="B31" s="293" t="s">
        <v>62</v>
      </c>
      <c r="C31" s="293" t="s">
        <v>63</v>
      </c>
      <c r="D31" s="866"/>
      <c r="E31" s="43"/>
      <c r="F31" s="43"/>
      <c r="G31" s="52"/>
    </row>
    <row r="32" spans="1:7" ht="15.75">
      <c r="A32" s="51">
        <f t="shared" si="0"/>
        <v>13</v>
      </c>
      <c r="B32" s="291" t="s">
        <v>64</v>
      </c>
      <c r="C32" s="291" t="s">
        <v>65</v>
      </c>
      <c r="D32" s="866">
        <v>1855896.3</v>
      </c>
      <c r="E32" s="43"/>
      <c r="F32" s="43"/>
      <c r="G32" s="52"/>
    </row>
    <row r="33" spans="1:19" ht="15.75">
      <c r="A33" s="57">
        <f>+A32+1</f>
        <v>14</v>
      </c>
      <c r="B33" s="266"/>
      <c r="C33" s="35" t="s">
        <v>66</v>
      </c>
      <c r="D33" s="267">
        <f>SUM(D24:D32)</f>
        <v>11986419.970000001</v>
      </c>
      <c r="E33" s="43"/>
      <c r="F33" s="43"/>
      <c r="G33" s="52"/>
    </row>
    <row r="34" spans="1:19" ht="15.75">
      <c r="A34" s="222"/>
      <c r="B34" s="65"/>
      <c r="C34" s="52"/>
      <c r="D34" s="52"/>
      <c r="E34" s="52"/>
      <c r="F34" s="52"/>
      <c r="G34" s="52"/>
    </row>
    <row r="35" spans="1:19" ht="15.75">
      <c r="A35" s="222"/>
      <c r="B35" s="51"/>
      <c r="C35" s="100" t="s">
        <v>213</v>
      </c>
      <c r="D35" s="45"/>
      <c r="E35" s="45"/>
      <c r="F35" s="45"/>
      <c r="G35" s="45"/>
    </row>
    <row r="36" spans="1:19">
      <c r="A36" s="57">
        <f>+A33+1</f>
        <v>15</v>
      </c>
      <c r="B36" s="1253" t="s">
        <v>929</v>
      </c>
      <c r="C36" s="864" t="s">
        <v>930</v>
      </c>
      <c r="D36" s="865">
        <v>9856.23</v>
      </c>
      <c r="E36" s="43">
        <f>D36</f>
        <v>9856.23</v>
      </c>
      <c r="F36" s="43">
        <v>0</v>
      </c>
      <c r="G36" s="42" t="s">
        <v>115</v>
      </c>
    </row>
    <row r="37" spans="1:19">
      <c r="A37" s="57">
        <f>+A36+1</f>
        <v>16</v>
      </c>
      <c r="B37" s="863" t="s">
        <v>1025</v>
      </c>
      <c r="C37" s="864" t="s">
        <v>1022</v>
      </c>
      <c r="D37" s="865">
        <v>1408236.28</v>
      </c>
      <c r="E37" s="43">
        <f>D37</f>
        <v>1408236.28</v>
      </c>
      <c r="F37" s="43">
        <v>0</v>
      </c>
      <c r="G37" s="42" t="s">
        <v>115</v>
      </c>
    </row>
    <row r="38" spans="1:19">
      <c r="A38" s="57">
        <f>+A37+1</f>
        <v>17</v>
      </c>
      <c r="B38" s="863" t="s">
        <v>1026</v>
      </c>
      <c r="C38" s="864" t="s">
        <v>1023</v>
      </c>
      <c r="D38" s="865">
        <v>3647604.76</v>
      </c>
      <c r="E38" s="43">
        <f>D38</f>
        <v>3647604.76</v>
      </c>
      <c r="F38" s="43">
        <v>0</v>
      </c>
      <c r="G38" s="42" t="s">
        <v>115</v>
      </c>
    </row>
    <row r="39" spans="1:19">
      <c r="A39" s="57">
        <f>+A38+1</f>
        <v>18</v>
      </c>
      <c r="B39" s="863" t="s">
        <v>1027</v>
      </c>
      <c r="C39" s="864" t="s">
        <v>1024</v>
      </c>
      <c r="D39" s="865">
        <v>91168.320000000007</v>
      </c>
      <c r="E39" s="43">
        <v>0</v>
      </c>
      <c r="F39" s="43">
        <f>D39</f>
        <v>91168.320000000007</v>
      </c>
      <c r="G39" s="42" t="s">
        <v>115</v>
      </c>
    </row>
    <row r="40" spans="1:19" ht="12.75" customHeight="1">
      <c r="A40" s="57">
        <f>+A39+1</f>
        <v>19</v>
      </c>
      <c r="B40" s="863"/>
      <c r="C40" s="864"/>
      <c r="D40" s="864"/>
      <c r="E40" s="46"/>
      <c r="F40" s="47"/>
      <c r="G40" s="45"/>
    </row>
    <row r="41" spans="1:19" ht="15.75" customHeight="1">
      <c r="A41" s="57">
        <f>+A40+1</f>
        <v>20</v>
      </c>
      <c r="B41" s="49"/>
      <c r="C41" s="1132" t="s">
        <v>637</v>
      </c>
      <c r="D41" s="60">
        <f>SUM(D36:D39)</f>
        <v>5156865.59</v>
      </c>
      <c r="E41" s="60">
        <f>SUM(E36:E39)</f>
        <v>5065697.2699999996</v>
      </c>
      <c r="F41" s="60">
        <f>SUM(F36:F39)</f>
        <v>91168.320000000007</v>
      </c>
      <c r="G41" s="28"/>
    </row>
    <row r="42" spans="1:19" ht="12.75" customHeight="1">
      <c r="B42" s="49"/>
      <c r="C42" s="50"/>
      <c r="D42" s="64"/>
      <c r="E42" s="31"/>
      <c r="F42" s="31"/>
      <c r="G42" s="45"/>
    </row>
    <row r="43" spans="1:19" ht="15.75">
      <c r="B43" s="51"/>
      <c r="C43" s="100" t="s">
        <v>212</v>
      </c>
      <c r="D43" s="31"/>
      <c r="E43" s="31"/>
      <c r="F43" s="31"/>
      <c r="G43" s="45"/>
    </row>
    <row r="44" spans="1:19">
      <c r="A44" s="57">
        <f>+A41+1</f>
        <v>21</v>
      </c>
      <c r="B44" s="1253" t="s">
        <v>931</v>
      </c>
      <c r="C44" s="864" t="s">
        <v>932</v>
      </c>
      <c r="D44" s="1254">
        <v>221623.67999999999</v>
      </c>
      <c r="E44" s="43">
        <f>+D44</f>
        <v>221623.67999999999</v>
      </c>
      <c r="F44" s="43">
        <v>0</v>
      </c>
      <c r="G44"/>
      <c r="M44" s="27"/>
      <c r="N44" s="62"/>
      <c r="O44" s="63"/>
      <c r="P44" s="63"/>
      <c r="Q44" s="63"/>
      <c r="R44" s="63"/>
      <c r="S44" s="29"/>
    </row>
    <row r="45" spans="1:19">
      <c r="A45" s="57">
        <f>+A44+1</f>
        <v>22</v>
      </c>
      <c r="B45" s="1253" t="s">
        <v>933</v>
      </c>
      <c r="C45" s="864" t="s">
        <v>934</v>
      </c>
      <c r="D45" s="1254">
        <v>301636.62</v>
      </c>
      <c r="E45" s="43">
        <f t="shared" ref="E45:E59" si="1">+D45</f>
        <v>301636.62</v>
      </c>
      <c r="F45" s="43">
        <v>0</v>
      </c>
      <c r="G45"/>
      <c r="M45" s="27"/>
      <c r="N45" s="62"/>
      <c r="O45" s="63"/>
      <c r="P45" s="63"/>
      <c r="Q45" s="63"/>
      <c r="R45" s="63"/>
      <c r="S45" s="29"/>
    </row>
    <row r="46" spans="1:19">
      <c r="A46" s="57">
        <f t="shared" ref="A46:A59" si="2">+A45+1</f>
        <v>23</v>
      </c>
      <c r="B46" s="1253" t="s">
        <v>935</v>
      </c>
      <c r="C46" s="864" t="s">
        <v>936</v>
      </c>
      <c r="D46" s="1254">
        <v>42881.200000000004</v>
      </c>
      <c r="E46" s="43">
        <f t="shared" si="1"/>
        <v>42881.200000000004</v>
      </c>
      <c r="F46" s="43">
        <v>0</v>
      </c>
      <c r="G46"/>
      <c r="M46" s="27"/>
      <c r="N46" s="62"/>
      <c r="O46" s="63"/>
      <c r="P46" s="63"/>
      <c r="Q46" s="63"/>
      <c r="R46" s="63"/>
      <c r="S46" s="29"/>
    </row>
    <row r="47" spans="1:19">
      <c r="A47" s="57">
        <f t="shared" si="2"/>
        <v>24</v>
      </c>
      <c r="B47" s="1253" t="s">
        <v>937</v>
      </c>
      <c r="C47" s="864" t="s">
        <v>938</v>
      </c>
      <c r="D47" s="1254">
        <v>3166.21</v>
      </c>
      <c r="E47" s="43">
        <f t="shared" si="1"/>
        <v>3166.21</v>
      </c>
      <c r="F47" s="43">
        <v>0</v>
      </c>
      <c r="G47"/>
      <c r="M47" s="27"/>
      <c r="N47" s="62"/>
      <c r="O47" s="63"/>
      <c r="P47" s="63"/>
      <c r="Q47" s="63"/>
      <c r="R47" s="63"/>
      <c r="S47" s="29"/>
    </row>
    <row r="48" spans="1:19">
      <c r="A48" s="57">
        <f>+A47+1</f>
        <v>25</v>
      </c>
      <c r="B48" s="1253" t="s">
        <v>939</v>
      </c>
      <c r="C48" s="864" t="s">
        <v>940</v>
      </c>
      <c r="D48" s="1254">
        <v>3913.59</v>
      </c>
      <c r="E48" s="43">
        <f t="shared" si="1"/>
        <v>3913.59</v>
      </c>
      <c r="F48" s="43">
        <v>0</v>
      </c>
      <c r="G48"/>
      <c r="M48" s="27"/>
      <c r="N48" s="62"/>
      <c r="O48" s="63"/>
      <c r="P48" s="63"/>
      <c r="Q48" s="63"/>
      <c r="R48" s="63"/>
      <c r="S48" s="29"/>
    </row>
    <row r="49" spans="1:19">
      <c r="A49" s="57">
        <f t="shared" si="2"/>
        <v>26</v>
      </c>
      <c r="B49" s="1253" t="s">
        <v>941</v>
      </c>
      <c r="C49" s="864" t="s">
        <v>942</v>
      </c>
      <c r="D49" s="1254"/>
      <c r="E49" s="43">
        <f t="shared" si="1"/>
        <v>0</v>
      </c>
      <c r="F49" s="43">
        <v>0</v>
      </c>
      <c r="G49"/>
      <c r="M49" s="27"/>
      <c r="N49" s="62"/>
      <c r="O49" s="63"/>
      <c r="P49" s="63"/>
      <c r="Q49" s="63"/>
      <c r="R49" s="63"/>
      <c r="S49" s="29"/>
    </row>
    <row r="50" spans="1:19">
      <c r="A50" s="57">
        <f t="shared" si="2"/>
        <v>27</v>
      </c>
      <c r="B50" s="1253" t="s">
        <v>943</v>
      </c>
      <c r="C50" s="864" t="s">
        <v>944</v>
      </c>
      <c r="D50" s="1254">
        <v>10012.33</v>
      </c>
      <c r="E50" s="43">
        <f t="shared" si="1"/>
        <v>10012.33</v>
      </c>
      <c r="F50" s="43">
        <v>0</v>
      </c>
      <c r="G50"/>
      <c r="M50" s="27"/>
      <c r="N50" s="62"/>
      <c r="O50" s="63"/>
      <c r="P50" s="63"/>
      <c r="Q50" s="63"/>
      <c r="R50" s="63"/>
      <c r="S50" s="29"/>
    </row>
    <row r="51" spans="1:19">
      <c r="A51" s="57">
        <f t="shared" si="2"/>
        <v>28</v>
      </c>
      <c r="B51" s="1253" t="s">
        <v>945</v>
      </c>
      <c r="C51" s="864" t="s">
        <v>946</v>
      </c>
      <c r="D51" s="1254">
        <v>100</v>
      </c>
      <c r="E51" s="43">
        <f t="shared" si="1"/>
        <v>100</v>
      </c>
      <c r="F51" s="43">
        <v>0</v>
      </c>
      <c r="G51"/>
      <c r="M51" s="27"/>
      <c r="N51" s="62"/>
      <c r="O51" s="63"/>
      <c r="P51" s="63"/>
      <c r="Q51" s="63"/>
      <c r="R51" s="63"/>
      <c r="S51" s="29"/>
    </row>
    <row r="52" spans="1:19">
      <c r="A52" s="57">
        <f>A51+1</f>
        <v>29</v>
      </c>
      <c r="B52" s="1253" t="s">
        <v>947</v>
      </c>
      <c r="C52" s="864" t="s">
        <v>948</v>
      </c>
      <c r="D52" s="1254"/>
      <c r="E52" s="43">
        <f t="shared" si="1"/>
        <v>0</v>
      </c>
      <c r="F52" s="43"/>
      <c r="G52"/>
      <c r="M52" s="27"/>
      <c r="N52" s="62"/>
      <c r="O52" s="63"/>
      <c r="P52" s="63"/>
      <c r="Q52" s="63"/>
      <c r="R52" s="63"/>
      <c r="S52" s="29"/>
    </row>
    <row r="53" spans="1:19">
      <c r="A53" s="57">
        <f>A52+1</f>
        <v>30</v>
      </c>
      <c r="B53" s="1253" t="s">
        <v>949</v>
      </c>
      <c r="C53" s="864" t="s">
        <v>950</v>
      </c>
      <c r="D53" s="1254">
        <v>36500</v>
      </c>
      <c r="E53" s="43">
        <f t="shared" si="1"/>
        <v>36500</v>
      </c>
      <c r="F53" s="43"/>
      <c r="G53"/>
      <c r="M53" s="27"/>
      <c r="N53" s="62"/>
      <c r="O53" s="63"/>
      <c r="P53" s="63"/>
      <c r="Q53" s="63"/>
      <c r="R53" s="63"/>
      <c r="S53" s="29"/>
    </row>
    <row r="54" spans="1:19">
      <c r="A54" s="57">
        <f>A53+1</f>
        <v>31</v>
      </c>
      <c r="B54" s="1253" t="s">
        <v>951</v>
      </c>
      <c r="C54" s="864" t="s">
        <v>952</v>
      </c>
      <c r="D54" s="1254">
        <v>3100.73</v>
      </c>
      <c r="E54" s="43">
        <f t="shared" si="1"/>
        <v>3100.73</v>
      </c>
      <c r="F54" s="43"/>
      <c r="G54"/>
      <c r="M54" s="27"/>
      <c r="N54" s="62"/>
      <c r="O54" s="63"/>
      <c r="P54" s="63"/>
      <c r="Q54" s="63"/>
      <c r="R54" s="63"/>
      <c r="S54" s="29"/>
    </row>
    <row r="55" spans="1:19">
      <c r="A55" s="57">
        <f>A54+1</f>
        <v>32</v>
      </c>
      <c r="B55" s="1253" t="s">
        <v>953</v>
      </c>
      <c r="C55" s="864" t="s">
        <v>954</v>
      </c>
      <c r="D55" s="1254">
        <v>0</v>
      </c>
      <c r="E55" s="43">
        <f t="shared" si="1"/>
        <v>0</v>
      </c>
      <c r="F55" s="48">
        <v>0</v>
      </c>
      <c r="G55"/>
      <c r="M55" s="27"/>
      <c r="N55" s="62"/>
      <c r="O55" s="63"/>
      <c r="P55" s="63"/>
      <c r="Q55" s="63"/>
      <c r="R55" s="63"/>
      <c r="S55" s="29"/>
    </row>
    <row r="56" spans="1:19">
      <c r="A56" s="57">
        <f t="shared" si="2"/>
        <v>33</v>
      </c>
      <c r="B56" s="1253" t="s">
        <v>955</v>
      </c>
      <c r="C56" s="864" t="s">
        <v>956</v>
      </c>
      <c r="D56" s="1254">
        <v>139398.62</v>
      </c>
      <c r="E56" s="43">
        <f t="shared" si="1"/>
        <v>139398.62</v>
      </c>
      <c r="F56" s="48">
        <v>0</v>
      </c>
      <c r="G56"/>
    </row>
    <row r="57" spans="1:19">
      <c r="A57" s="57">
        <f t="shared" si="2"/>
        <v>34</v>
      </c>
      <c r="B57" s="1253" t="s">
        <v>957</v>
      </c>
      <c r="C57" s="864" t="s">
        <v>958</v>
      </c>
      <c r="D57" s="1254"/>
      <c r="E57" s="43">
        <f t="shared" si="1"/>
        <v>0</v>
      </c>
      <c r="F57" s="48">
        <v>0</v>
      </c>
      <c r="G57" s="45"/>
    </row>
    <row r="58" spans="1:19">
      <c r="A58" s="57">
        <f t="shared" si="2"/>
        <v>35</v>
      </c>
      <c r="B58" s="1253" t="s">
        <v>959</v>
      </c>
      <c r="C58" s="864" t="s">
        <v>960</v>
      </c>
      <c r="D58" s="1254">
        <v>10000</v>
      </c>
      <c r="E58" s="43">
        <f t="shared" si="1"/>
        <v>10000</v>
      </c>
      <c r="F58" s="48">
        <v>0</v>
      </c>
      <c r="G58" s="45"/>
    </row>
    <row r="59" spans="1:19">
      <c r="A59" s="57">
        <f t="shared" si="2"/>
        <v>36</v>
      </c>
      <c r="B59" s="1253" t="s">
        <v>961</v>
      </c>
      <c r="C59" s="864" t="s">
        <v>962</v>
      </c>
      <c r="D59" s="1254">
        <v>43005.43</v>
      </c>
      <c r="E59" s="43">
        <f t="shared" si="1"/>
        <v>43005.43</v>
      </c>
      <c r="F59" s="48">
        <v>0</v>
      </c>
      <c r="G59" s="45"/>
    </row>
    <row r="60" spans="1:19">
      <c r="B60" s="44"/>
      <c r="C60" s="45"/>
      <c r="D60" s="53"/>
      <c r="E60" s="54"/>
      <c r="F60" s="53"/>
      <c r="G60" s="45"/>
    </row>
    <row r="61" spans="1:19" ht="15.75">
      <c r="A61" s="57">
        <f>A59+1</f>
        <v>37</v>
      </c>
      <c r="B61" s="49"/>
      <c r="C61" s="1132" t="s">
        <v>638</v>
      </c>
      <c r="D61" s="55">
        <f>SUM(D44:D60)</f>
        <v>815338.40999999992</v>
      </c>
      <c r="E61" s="55">
        <f>SUM(E44:E60)</f>
        <v>815338.40999999992</v>
      </c>
      <c r="F61" s="55">
        <f>SUM(F44:F56)</f>
        <v>0</v>
      </c>
      <c r="G61" s="28"/>
    </row>
    <row r="62" spans="1:19" ht="12.75" customHeight="1">
      <c r="B62" s="37"/>
      <c r="C62" s="37"/>
      <c r="D62" s="37"/>
      <c r="E62" s="37"/>
      <c r="F62" s="37"/>
      <c r="G62" s="37"/>
    </row>
    <row r="63" spans="1:19" ht="15.75">
      <c r="B63" s="35"/>
      <c r="C63" s="100" t="s">
        <v>211</v>
      </c>
      <c r="D63" s="56"/>
      <c r="E63" s="56"/>
      <c r="F63" s="56"/>
      <c r="G63" s="35"/>
    </row>
    <row r="64" spans="1:19">
      <c r="A64" s="57">
        <f>+A61+1</f>
        <v>38</v>
      </c>
      <c r="B64" s="1253" t="s">
        <v>963</v>
      </c>
      <c r="C64" s="864" t="s">
        <v>964</v>
      </c>
      <c r="D64" s="1254">
        <v>1520818.87</v>
      </c>
      <c r="E64" s="43">
        <f>+D64</f>
        <v>1520818.87</v>
      </c>
      <c r="F64" s="48"/>
      <c r="G64" s="27"/>
      <c r="H64" s="27"/>
      <c r="J64" s="29"/>
      <c r="K64" s="29"/>
    </row>
    <row r="65" spans="1:11">
      <c r="A65" s="57">
        <f>+A64+1</f>
        <v>39</v>
      </c>
      <c r="B65" s="1253" t="s">
        <v>965</v>
      </c>
      <c r="C65" s="864" t="s">
        <v>966</v>
      </c>
      <c r="D65" s="1254">
        <v>157837.92199999999</v>
      </c>
      <c r="E65" s="43">
        <f>+D65</f>
        <v>157837.92199999999</v>
      </c>
      <c r="F65" s="48"/>
      <c r="G65" s="27"/>
      <c r="H65" s="27"/>
      <c r="J65" s="29"/>
      <c r="K65" s="29"/>
    </row>
    <row r="66" spans="1:11">
      <c r="A66" s="57">
        <f>+A65+1</f>
        <v>40</v>
      </c>
      <c r="B66" s="1253" t="s">
        <v>967</v>
      </c>
      <c r="C66" s="864" t="s">
        <v>968</v>
      </c>
      <c r="D66" s="1254">
        <v>6185.28</v>
      </c>
      <c r="E66" s="43">
        <f>+D66</f>
        <v>6185.28</v>
      </c>
      <c r="F66" s="48"/>
      <c r="G66" s="27"/>
      <c r="H66" s="27"/>
      <c r="J66" s="29"/>
      <c r="K66" s="29"/>
    </row>
    <row r="67" spans="1:11">
      <c r="A67" s="57">
        <f>A66+1</f>
        <v>41</v>
      </c>
      <c r="B67" s="1253" t="s">
        <v>969</v>
      </c>
      <c r="C67" s="864" t="s">
        <v>970</v>
      </c>
      <c r="D67" s="1254">
        <v>318075.34000000003</v>
      </c>
      <c r="E67" s="43">
        <f>+D67</f>
        <v>318075.34000000003</v>
      </c>
      <c r="F67" s="48">
        <v>0</v>
      </c>
      <c r="G67" s="27"/>
      <c r="H67" s="27"/>
      <c r="J67" s="29"/>
      <c r="K67" s="29"/>
    </row>
    <row r="68" spans="1:11">
      <c r="A68" s="57">
        <f>+A67+1</f>
        <v>42</v>
      </c>
      <c r="B68" s="1253" t="s">
        <v>971</v>
      </c>
      <c r="C68" s="864" t="s">
        <v>972</v>
      </c>
      <c r="D68" s="1255">
        <v>3942886.23</v>
      </c>
      <c r="E68" s="1325">
        <f>D68-F68</f>
        <v>1413477.23</v>
      </c>
      <c r="F68" s="1325">
        <v>2529409</v>
      </c>
      <c r="G68" s="37"/>
    </row>
    <row r="69" spans="1:11">
      <c r="B69" s="297"/>
      <c r="C69" s="300"/>
      <c r="D69" s="301"/>
      <c r="E69" s="298"/>
      <c r="F69" s="298"/>
      <c r="G69" s="37"/>
    </row>
    <row r="70" spans="1:11" ht="15.75">
      <c r="A70" s="57">
        <f>+A68+1</f>
        <v>43</v>
      </c>
      <c r="B70" s="37"/>
      <c r="C70" s="1132" t="s">
        <v>639</v>
      </c>
      <c r="D70" s="299">
        <f>SUM(D64:D68)</f>
        <v>5945803.642</v>
      </c>
      <c r="E70" s="299">
        <f>SUM(E64:E68)</f>
        <v>3416394.642</v>
      </c>
      <c r="F70" s="299">
        <f>SUM(F64:F68)</f>
        <v>2529409</v>
      </c>
      <c r="G70" s="28"/>
    </row>
    <row r="71" spans="1:11">
      <c r="B71" s="88"/>
      <c r="C71" s="21"/>
      <c r="D71" s="295"/>
      <c r="E71" s="21"/>
      <c r="F71" s="21"/>
      <c r="G71" s="21"/>
    </row>
    <row r="72" spans="1:11" ht="12.75">
      <c r="A72"/>
      <c r="B72"/>
      <c r="C72"/>
      <c r="D72"/>
      <c r="E72"/>
      <c r="F72"/>
    </row>
    <row r="73" spans="1:11" ht="12.75">
      <c r="A73"/>
      <c r="B73"/>
      <c r="C73"/>
      <c r="D73"/>
      <c r="E73"/>
      <c r="F73"/>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BD14B54C-A026-4E47-8144-C1C4F3C25C8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TCOS</vt:lpstr>
      <vt:lpstr>WS A - RB Support</vt:lpstr>
      <vt:lpstr>WS B ADIT &amp; ITC</vt:lpstr>
      <vt:lpstr>WS B-1 - Actual Stmt. AF</vt:lpstr>
      <vt:lpstr>WS B-2 - Actual Stmt. AG</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 Q NITS</vt:lpstr>
      <vt:lpstr>WS Q Schedule 12</vt:lpstr>
      <vt:lpstr>WSQ Schedule 1A</vt:lpstr>
      <vt:lpstr>'WS G  State Tax Rate'!Print_Area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AEP Internal</cp:keywords>
  <cp:lastModifiedBy/>
  <cp:lastPrinted>1601-01-01T00:00:00Z</cp:lastPrinted>
  <dcterms:created xsi:type="dcterms:W3CDTF">1601-01-01T00:00:00Z</dcterms:created>
  <dcterms:modified xsi:type="dcterms:W3CDTF">2019-06-07T12:46:03Z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63a95d46-b7b4-433d-bcb6-b3185541e002</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